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Dropbox\ChinaRevision\AERFinal\DataCode\"/>
    </mc:Choice>
  </mc:AlternateContent>
  <xr:revisionPtr revIDLastSave="0" documentId="13_ncr:1_{929ACE84-765F-4992-A42A-0325D62A9FA6}" xr6:coauthVersionLast="47" xr6:coauthVersionMax="47" xr10:uidLastSave="{00000000-0000-0000-0000-000000000000}"/>
  <bookViews>
    <workbookView xWindow="-120" yWindow="-120" windowWidth="29040" windowHeight="15990" firstSheet="5" activeTab="12" xr2:uid="{00000000-000D-0000-FFFF-FFFF00000000}"/>
  </bookViews>
  <sheets>
    <sheet name="FinalDataCompilation" sheetId="12" r:id="rId1"/>
    <sheet name="60years" sheetId="1" r:id="rId2"/>
    <sheet name="CSY2013" sheetId="2" r:id="rId3"/>
    <sheet name="Merge60_CSY" sheetId="6" r:id="rId4"/>
    <sheet name="ConsNonAg" sheetId="20" r:id="rId5"/>
    <sheet name="Prices" sheetId="17" r:id="rId6"/>
    <sheet name="Capital" sheetId="8" r:id="rId7"/>
    <sheet name="TradeCSY" sheetId="5" r:id="rId8"/>
    <sheet name="Defense" sheetId="7" r:id="rId9"/>
    <sheet name="Wages" sheetId="15" r:id="rId10"/>
    <sheet name="LaborShares" sheetId="18" r:id="rId11"/>
    <sheet name="FarmCapital" sheetId="19" r:id="rId12"/>
    <sheet name="DirectEvidence" sheetId="21" r:id="rId13"/>
    <sheet name="ThirdFront" sheetId="22" r:id="rId14"/>
  </sheets>
  <externalReferences>
    <externalReference r:id="rId15"/>
  </externalReferences>
  <definedNames>
    <definedName name="_xlnm.Print_Area" localSheetId="9">Wages!$A$1:$R$63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1" l="1"/>
  <c r="B5" i="21"/>
  <c r="B6" i="21"/>
  <c r="B7" i="21"/>
  <c r="B8" i="21"/>
  <c r="B9" i="21"/>
  <c r="B10" i="21"/>
  <c r="B11" i="21"/>
  <c r="B12" i="21"/>
  <c r="B13" i="21"/>
  <c r="B14" i="21"/>
  <c r="B15" i="21"/>
  <c r="B16" i="21"/>
  <c r="B17" i="21"/>
  <c r="B3" i="21"/>
  <c r="AG34" i="22"/>
  <c r="AB34" i="22"/>
  <c r="AA34" i="22"/>
  <c r="Q34" i="22"/>
  <c r="N34" i="22"/>
  <c r="O34" i="22" s="1"/>
  <c r="M34" i="22"/>
  <c r="L34" i="22"/>
  <c r="H34" i="22"/>
  <c r="D34" i="22"/>
  <c r="J34" i="22" s="1"/>
  <c r="AG33" i="22"/>
  <c r="AB33" i="22"/>
  <c r="AA33" i="22"/>
  <c r="N33" i="22"/>
  <c r="O33" i="22" s="1"/>
  <c r="M33" i="22"/>
  <c r="L33" i="22"/>
  <c r="Q33" i="22" s="1"/>
  <c r="J33" i="22"/>
  <c r="H33" i="22"/>
  <c r="D33" i="22"/>
  <c r="AG32" i="22"/>
  <c r="AB32" i="22"/>
  <c r="AA32" i="22"/>
  <c r="N32" i="22"/>
  <c r="O32" i="22" s="1"/>
  <c r="M32" i="22"/>
  <c r="L32" i="22"/>
  <c r="Q32" i="22" s="1"/>
  <c r="H32" i="22"/>
  <c r="D32" i="22"/>
  <c r="J32" i="22" s="1"/>
  <c r="AG31" i="22"/>
  <c r="AB31" i="22"/>
  <c r="AA31" i="22"/>
  <c r="Q31" i="22"/>
  <c r="N31" i="22"/>
  <c r="O31" i="22" s="1"/>
  <c r="M31" i="22"/>
  <c r="L31" i="22"/>
  <c r="H31" i="22"/>
  <c r="D31" i="22"/>
  <c r="J31" i="22" s="1"/>
  <c r="AG30" i="22"/>
  <c r="AB30" i="22"/>
  <c r="AA30" i="22"/>
  <c r="N30" i="22"/>
  <c r="O30" i="22" s="1"/>
  <c r="M30" i="22"/>
  <c r="L30" i="22"/>
  <c r="Q30" i="22" s="1"/>
  <c r="J30" i="22"/>
  <c r="H30" i="22"/>
  <c r="D30" i="22"/>
  <c r="AG29" i="22"/>
  <c r="AB29" i="22"/>
  <c r="AA29" i="22"/>
  <c r="Q29" i="22"/>
  <c r="N29" i="22"/>
  <c r="O29" i="22" s="1"/>
  <c r="M29" i="22"/>
  <c r="L29" i="22"/>
  <c r="H29" i="22"/>
  <c r="D29" i="22"/>
  <c r="J29" i="22" s="1"/>
  <c r="AG28" i="22"/>
  <c r="AB28" i="22"/>
  <c r="AA28" i="22"/>
  <c r="N28" i="22"/>
  <c r="O28" i="22" s="1"/>
  <c r="M28" i="22"/>
  <c r="L28" i="22"/>
  <c r="Q28" i="22" s="1"/>
  <c r="H28" i="22"/>
  <c r="D28" i="22"/>
  <c r="J28" i="22" s="1"/>
  <c r="AG27" i="22"/>
  <c r="AB27" i="22"/>
  <c r="AA27" i="22"/>
  <c r="O27" i="22"/>
  <c r="M27" i="22"/>
  <c r="L27" i="22"/>
  <c r="Q27" i="22" s="1"/>
  <c r="H27" i="22"/>
  <c r="D27" i="22"/>
  <c r="J27" i="22" s="1"/>
  <c r="AG26" i="22"/>
  <c r="AB26" i="22"/>
  <c r="AA26" i="22"/>
  <c r="Q26" i="22"/>
  <c r="M26" i="22"/>
  <c r="L26" i="22"/>
  <c r="J26" i="22"/>
  <c r="H26" i="22"/>
  <c r="D26" i="22"/>
  <c r="O26" i="22" s="1"/>
  <c r="AG25" i="22"/>
  <c r="AB25" i="22"/>
  <c r="AA25" i="22"/>
  <c r="M25" i="22"/>
  <c r="L25" i="22"/>
  <c r="Q25" i="22" s="1"/>
  <c r="H25" i="22"/>
  <c r="D25" i="22"/>
  <c r="J25" i="22" s="1"/>
  <c r="AG24" i="22"/>
  <c r="AB24" i="22"/>
  <c r="AA24" i="22"/>
  <c r="O24" i="22"/>
  <c r="M24" i="22"/>
  <c r="L24" i="22"/>
  <c r="Q24" i="22" s="1"/>
  <c r="H24" i="22"/>
  <c r="D24" i="22"/>
  <c r="J24" i="22" s="1"/>
  <c r="AG23" i="22"/>
  <c r="AB23" i="22"/>
  <c r="AA23" i="22"/>
  <c r="Q23" i="22"/>
  <c r="M23" i="22"/>
  <c r="L23" i="22"/>
  <c r="J23" i="22"/>
  <c r="H23" i="22"/>
  <c r="D23" i="22"/>
  <c r="O23" i="22" s="1"/>
  <c r="AG22" i="22"/>
  <c r="AB22" i="22"/>
  <c r="AA22" i="22"/>
  <c r="M22" i="22"/>
  <c r="L22" i="22"/>
  <c r="Q22" i="22" s="1"/>
  <c r="H22" i="22"/>
  <c r="D22" i="22"/>
  <c r="J22" i="22" s="1"/>
  <c r="AG21" i="22"/>
  <c r="AB21" i="22"/>
  <c r="AA21" i="22"/>
  <c r="O21" i="22"/>
  <c r="M21" i="22"/>
  <c r="L21" i="22"/>
  <c r="Q21" i="22" s="1"/>
  <c r="H21" i="22"/>
  <c r="D21" i="22"/>
  <c r="J21" i="22" s="1"/>
  <c r="K21" i="22" s="1"/>
  <c r="AG20" i="22"/>
  <c r="AB20" i="22"/>
  <c r="AA20" i="22"/>
  <c r="Q20" i="22"/>
  <c r="P20" i="22"/>
  <c r="S20" i="22" s="1"/>
  <c r="N20" i="22"/>
  <c r="M20" i="22"/>
  <c r="L20" i="22"/>
  <c r="K20" i="22"/>
  <c r="H20" i="22"/>
  <c r="Z18" i="22"/>
  <c r="C15" i="22"/>
  <c r="C14" i="22"/>
  <c r="C13" i="22"/>
  <c r="C12" i="22"/>
  <c r="C11" i="22"/>
  <c r="C10" i="22"/>
  <c r="C9" i="22"/>
  <c r="C8" i="22"/>
  <c r="C7" i="22"/>
  <c r="C6" i="22"/>
  <c r="C5" i="22"/>
  <c r="C4" i="22"/>
  <c r="R3" i="22"/>
  <c r="R4" i="22" s="1"/>
  <c r="R5" i="22" s="1"/>
  <c r="R6" i="22" s="1"/>
  <c r="R7" i="22" s="1"/>
  <c r="R8" i="22" s="1"/>
  <c r="R9" i="22" s="1"/>
  <c r="R10" i="22" s="1"/>
  <c r="R11" i="22" s="1"/>
  <c r="R12" i="22" s="1"/>
  <c r="R13" i="22" s="1"/>
  <c r="R14" i="22" s="1"/>
  <c r="R15" i="22" s="1"/>
  <c r="Q3" i="22"/>
  <c r="Q4" i="22" s="1"/>
  <c r="M3" i="22"/>
  <c r="N3" i="22" s="1"/>
  <c r="L3" i="22"/>
  <c r="L4" i="22" s="1"/>
  <c r="L5" i="22" s="1"/>
  <c r="L6" i="22" s="1"/>
  <c r="L7" i="22" s="1"/>
  <c r="L8" i="22" s="1"/>
  <c r="L9" i="22" s="1"/>
  <c r="L10" i="22" s="1"/>
  <c r="L11" i="22" s="1"/>
  <c r="L12" i="22" s="1"/>
  <c r="L13" i="22" s="1"/>
  <c r="L14" i="22" s="1"/>
  <c r="L15" i="22" s="1"/>
  <c r="K3" i="22"/>
  <c r="K4" i="22" s="1"/>
  <c r="F3" i="22"/>
  <c r="F4" i="22" s="1"/>
  <c r="F5" i="22" s="1"/>
  <c r="F6" i="22" s="1"/>
  <c r="F7" i="22" s="1"/>
  <c r="F8" i="22" s="1"/>
  <c r="F9" i="22" s="1"/>
  <c r="F10" i="22" s="1"/>
  <c r="F11" i="22" s="1"/>
  <c r="F12" i="22" s="1"/>
  <c r="F13" i="22" s="1"/>
  <c r="F14" i="22" s="1"/>
  <c r="F15" i="22" s="1"/>
  <c r="E3" i="22"/>
  <c r="G3" i="22" s="1"/>
  <c r="C3" i="22"/>
  <c r="S2" i="22"/>
  <c r="T2" i="22" s="1"/>
  <c r="M2" i="22"/>
  <c r="N2" i="22" s="1"/>
  <c r="G2" i="22"/>
  <c r="C2" i="22"/>
  <c r="Q5" i="22" l="1"/>
  <c r="S4" i="22"/>
  <c r="K22" i="22"/>
  <c r="K23" i="22" s="1"/>
  <c r="S21" i="22"/>
  <c r="U21" i="22" s="1"/>
  <c r="V21" i="22" s="1"/>
  <c r="U20" i="22"/>
  <c r="V20" i="22" s="1"/>
  <c r="R20" i="22"/>
  <c r="K5" i="22"/>
  <c r="M4" i="22"/>
  <c r="S3" i="22"/>
  <c r="T3" i="22" s="1"/>
  <c r="P21" i="22"/>
  <c r="O22" i="22"/>
  <c r="O25" i="22"/>
  <c r="E4" i="22"/>
  <c r="G4" i="22" l="1"/>
  <c r="E5" i="22"/>
  <c r="P22" i="22"/>
  <c r="P23" i="22" s="1"/>
  <c r="P24" i="22" s="1"/>
  <c r="P25" i="22" s="1"/>
  <c r="P26" i="22" s="1"/>
  <c r="P27" i="22" s="1"/>
  <c r="P28" i="22" s="1"/>
  <c r="P29" i="22" s="1"/>
  <c r="P30" i="22" s="1"/>
  <c r="P31" i="22" s="1"/>
  <c r="P32" i="22" s="1"/>
  <c r="P33" i="22" s="1"/>
  <c r="P34" i="22" s="1"/>
  <c r="R21" i="22"/>
  <c r="S23" i="22"/>
  <c r="U23" i="22" s="1"/>
  <c r="V23" i="22" s="1"/>
  <c r="K24" i="22"/>
  <c r="R23" i="22"/>
  <c r="N4" i="22"/>
  <c r="K6" i="22"/>
  <c r="M5" i="22"/>
  <c r="T4" i="22"/>
  <c r="S5" i="22"/>
  <c r="Q6" i="22"/>
  <c r="S22" i="22"/>
  <c r="U22" i="22" s="1"/>
  <c r="V22" i="22" s="1"/>
  <c r="K7" i="22" l="1"/>
  <c r="M6" i="22"/>
  <c r="R22" i="22"/>
  <c r="G5" i="22"/>
  <c r="T5" i="22" s="1"/>
  <c r="E6" i="22"/>
  <c r="S6" i="22"/>
  <c r="Q7" i="22"/>
  <c r="N5" i="22"/>
  <c r="S24" i="22"/>
  <c r="U24" i="22" s="1"/>
  <c r="V24" i="22" s="1"/>
  <c r="K25" i="22"/>
  <c r="R24" i="22"/>
  <c r="K26" i="22" l="1"/>
  <c r="S25" i="22"/>
  <c r="U25" i="22" s="1"/>
  <c r="V25" i="22" s="1"/>
  <c r="S7" i="22"/>
  <c r="Q8" i="22"/>
  <c r="G6" i="22"/>
  <c r="T6" i="22" s="1"/>
  <c r="E7" i="22"/>
  <c r="N6" i="22"/>
  <c r="K8" i="22"/>
  <c r="M7" i="22"/>
  <c r="S8" i="22" l="1"/>
  <c r="Q9" i="22"/>
  <c r="M8" i="22"/>
  <c r="K9" i="22"/>
  <c r="G7" i="22"/>
  <c r="T7" i="22" s="1"/>
  <c r="T1" i="22" s="1"/>
  <c r="E8" i="22"/>
  <c r="R25" i="22"/>
  <c r="S26" i="22"/>
  <c r="U26" i="22" s="1"/>
  <c r="V26" i="22" s="1"/>
  <c r="K27" i="22"/>
  <c r="R26" i="22" l="1"/>
  <c r="K10" i="22"/>
  <c r="M9" i="22"/>
  <c r="S9" i="22"/>
  <c r="Q10" i="22"/>
  <c r="S27" i="22"/>
  <c r="U27" i="22" s="1"/>
  <c r="V27" i="22" s="1"/>
  <c r="K28" i="22"/>
  <c r="G8" i="22"/>
  <c r="N8" i="22" s="1"/>
  <c r="E9" i="22"/>
  <c r="N7" i="22"/>
  <c r="G9" i="22" l="1"/>
  <c r="E10" i="22"/>
  <c r="K29" i="22"/>
  <c r="S28" i="22"/>
  <c r="U28" i="22" s="1"/>
  <c r="V28" i="22" s="1"/>
  <c r="S10" i="22"/>
  <c r="Q11" i="22"/>
  <c r="T9" i="22"/>
  <c r="R27" i="22"/>
  <c r="N9" i="22"/>
  <c r="K11" i="22"/>
  <c r="M10" i="22"/>
  <c r="T8" i="22"/>
  <c r="K12" i="22" l="1"/>
  <c r="M11" i="22"/>
  <c r="S11" i="22"/>
  <c r="Q12" i="22"/>
  <c r="R28" i="22"/>
  <c r="K30" i="22"/>
  <c r="S29" i="22"/>
  <c r="U29" i="22" s="1"/>
  <c r="V29" i="22" s="1"/>
  <c r="G10" i="22"/>
  <c r="N10" i="22" s="1"/>
  <c r="E11" i="22"/>
  <c r="T10" i="22" l="1"/>
  <c r="K31" i="22"/>
  <c r="S30" i="22"/>
  <c r="U30" i="22" s="1"/>
  <c r="V30" i="22" s="1"/>
  <c r="R29" i="22"/>
  <c r="S12" i="22"/>
  <c r="Q13" i="22"/>
  <c r="G11" i="22"/>
  <c r="N11" i="22" s="1"/>
  <c r="E12" i="22"/>
  <c r="T11" i="22"/>
  <c r="K13" i="22"/>
  <c r="M12" i="22"/>
  <c r="K14" i="22" l="1"/>
  <c r="M13" i="22"/>
  <c r="G12" i="22"/>
  <c r="E13" i="22"/>
  <c r="S13" i="22"/>
  <c r="Q14" i="22"/>
  <c r="R30" i="22"/>
  <c r="K32" i="22"/>
  <c r="S31" i="22"/>
  <c r="U31" i="22" s="1"/>
  <c r="V31" i="22" s="1"/>
  <c r="T12" i="22"/>
  <c r="N12" i="22"/>
  <c r="R31" i="22" l="1"/>
  <c r="G13" i="22"/>
  <c r="N13" i="22" s="1"/>
  <c r="E14" i="22"/>
  <c r="K33" i="22"/>
  <c r="S32" i="22"/>
  <c r="U32" i="22" s="1"/>
  <c r="V32" i="22" s="1"/>
  <c r="S14" i="22"/>
  <c r="Q15" i="22"/>
  <c r="S15" i="22" s="1"/>
  <c r="K15" i="22"/>
  <c r="M15" i="22" s="1"/>
  <c r="M14" i="22"/>
  <c r="R32" i="22" l="1"/>
  <c r="T13" i="22"/>
  <c r="K34" i="22"/>
  <c r="S33" i="22"/>
  <c r="U33" i="22" s="1"/>
  <c r="V33" i="22" s="1"/>
  <c r="G14" i="22"/>
  <c r="T14" i="22" s="1"/>
  <c r="E15" i="22"/>
  <c r="G15" i="22" s="1"/>
  <c r="T15" i="22" s="1"/>
  <c r="R33" i="22" l="1"/>
  <c r="N15" i="22"/>
  <c r="N14" i="22"/>
  <c r="S34" i="22"/>
  <c r="U34" i="22" s="1"/>
  <c r="V34" i="22" s="1"/>
  <c r="R34" i="22" l="1"/>
  <c r="T65" i="12" l="1"/>
  <c r="T6" i="12"/>
  <c r="T7" i="12"/>
  <c r="T8" i="12"/>
  <c r="T9" i="12"/>
  <c r="T10" i="12"/>
  <c r="T11" i="12"/>
  <c r="T12" i="12"/>
  <c r="T13" i="12"/>
  <c r="T14" i="12"/>
  <c r="T15" i="12"/>
  <c r="T16" i="12"/>
  <c r="T17" i="12"/>
  <c r="T18" i="12"/>
  <c r="T19" i="12"/>
  <c r="T20" i="12"/>
  <c r="T21" i="12"/>
  <c r="T22" i="12"/>
  <c r="T23" i="12"/>
  <c r="T24" i="12"/>
  <c r="T25" i="12"/>
  <c r="T26" i="12"/>
  <c r="T27" i="12"/>
  <c r="T28" i="12"/>
  <c r="T29" i="12"/>
  <c r="T30" i="12"/>
  <c r="T31" i="12"/>
  <c r="T32" i="12"/>
  <c r="T33" i="12"/>
  <c r="T34" i="12"/>
  <c r="T35" i="12"/>
  <c r="T36" i="12"/>
  <c r="T37" i="12"/>
  <c r="T38" i="12"/>
  <c r="T39" i="12"/>
  <c r="T40" i="12"/>
  <c r="T41" i="12"/>
  <c r="T42" i="12"/>
  <c r="T43" i="12"/>
  <c r="T44" i="12"/>
  <c r="T45" i="12"/>
  <c r="T46" i="12"/>
  <c r="T47" i="12"/>
  <c r="T48" i="12"/>
  <c r="T49" i="12"/>
  <c r="T50" i="12"/>
  <c r="T51" i="12"/>
  <c r="T52" i="12"/>
  <c r="T53" i="12"/>
  <c r="T54" i="12"/>
  <c r="T55" i="12"/>
  <c r="T56" i="12"/>
  <c r="T57" i="12"/>
  <c r="T58" i="12"/>
  <c r="T59" i="12"/>
  <c r="T60" i="12"/>
  <c r="T61" i="12"/>
  <c r="T62" i="12"/>
  <c r="T63" i="12"/>
  <c r="T64" i="12"/>
  <c r="V26" i="12"/>
  <c r="T5" i="12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2" i="20"/>
  <c r="P33" i="20"/>
  <c r="P34" i="20"/>
  <c r="P35" i="20"/>
  <c r="P36" i="20"/>
  <c r="P37" i="20"/>
  <c r="P38" i="20"/>
  <c r="P39" i="20"/>
  <c r="P40" i="20"/>
  <c r="P41" i="20"/>
  <c r="P5" i="20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11" i="20"/>
  <c r="A10" i="20"/>
  <c r="A9" i="20"/>
  <c r="A8" i="20"/>
  <c r="A7" i="20"/>
  <c r="A6" i="20"/>
  <c r="A5" i="20"/>
  <c r="D5" i="19"/>
  <c r="D6" i="19"/>
  <c r="D7" i="19"/>
  <c r="D8" i="19"/>
  <c r="D9" i="19"/>
  <c r="D10" i="19"/>
  <c r="D11" i="19"/>
  <c r="D12" i="19"/>
  <c r="D13" i="19"/>
  <c r="D14" i="19"/>
  <c r="D15" i="19"/>
  <c r="D16" i="19"/>
  <c r="D17" i="19"/>
  <c r="D18" i="19"/>
  <c r="D19" i="19"/>
  <c r="D20" i="19"/>
  <c r="D21" i="19"/>
  <c r="D22" i="19"/>
  <c r="D23" i="19"/>
  <c r="D24" i="19"/>
  <c r="D25" i="19"/>
  <c r="D26" i="19"/>
  <c r="D27" i="19"/>
  <c r="D28" i="19"/>
  <c r="D29" i="19"/>
  <c r="D30" i="19"/>
  <c r="D31" i="19"/>
  <c r="D32" i="19"/>
  <c r="D4" i="19"/>
  <c r="T5" i="18"/>
  <c r="O5" i="18"/>
  <c r="T6" i="18"/>
  <c r="T7" i="18"/>
  <c r="T8" i="18"/>
  <c r="T9" i="18"/>
  <c r="T10" i="18"/>
  <c r="T11" i="18"/>
  <c r="T12" i="18"/>
  <c r="T13" i="18"/>
  <c r="T14" i="18"/>
  <c r="T15" i="18"/>
  <c r="T16" i="18"/>
  <c r="T17" i="18"/>
  <c r="T18" i="18"/>
  <c r="T19" i="18"/>
  <c r="O19" i="18"/>
  <c r="T20" i="18"/>
  <c r="T21" i="18"/>
  <c r="T22" i="18"/>
  <c r="T23" i="18"/>
  <c r="T24" i="18"/>
  <c r="T25" i="18"/>
  <c r="T26" i="18"/>
  <c r="T27" i="18"/>
  <c r="T28" i="18"/>
  <c r="T29" i="18"/>
  <c r="T30" i="18"/>
  <c r="T31" i="18"/>
  <c r="T32" i="18"/>
  <c r="T33" i="18"/>
  <c r="T4" i="18"/>
  <c r="B29" i="15"/>
  <c r="B28" i="15"/>
  <c r="B27" i="15"/>
  <c r="B26" i="15"/>
  <c r="B25" i="15"/>
  <c r="B24" i="15"/>
  <c r="B23" i="15"/>
  <c r="B22" i="15"/>
  <c r="B21" i="15"/>
  <c r="B20" i="15"/>
  <c r="S21" i="12" s="1"/>
  <c r="AF21" i="12" s="1"/>
  <c r="B19" i="15"/>
  <c r="B18" i="15"/>
  <c r="B17" i="15"/>
  <c r="B16" i="15"/>
  <c r="B15" i="15"/>
  <c r="B14" i="15"/>
  <c r="B13" i="15"/>
  <c r="B12" i="15"/>
  <c r="B11" i="15"/>
  <c r="B10" i="15"/>
  <c r="B9" i="15"/>
  <c r="B8" i="15"/>
  <c r="S9" i="12" s="1"/>
  <c r="B7" i="15"/>
  <c r="B6" i="15"/>
  <c r="B5" i="15"/>
  <c r="B4" i="15"/>
  <c r="B63" i="15"/>
  <c r="B62" i="15"/>
  <c r="B61" i="15"/>
  <c r="B60" i="15"/>
  <c r="B59" i="15"/>
  <c r="O33" i="18"/>
  <c r="B58" i="15"/>
  <c r="O32" i="18"/>
  <c r="B57" i="15"/>
  <c r="O31" i="18" s="1"/>
  <c r="B56" i="15"/>
  <c r="B55" i="15"/>
  <c r="O29" i="18"/>
  <c r="B54" i="15"/>
  <c r="O28" i="18"/>
  <c r="B53" i="15"/>
  <c r="O27" i="18"/>
  <c r="B52" i="15"/>
  <c r="O26" i="18" s="1"/>
  <c r="B51" i="15"/>
  <c r="O25" i="18" s="1"/>
  <c r="B50" i="15"/>
  <c r="O24" i="18" s="1"/>
  <c r="B49" i="15"/>
  <c r="O23" i="18" s="1"/>
  <c r="B48" i="15"/>
  <c r="B47" i="15"/>
  <c r="O21" i="18" s="1"/>
  <c r="B46" i="15"/>
  <c r="O20" i="18" s="1"/>
  <c r="B45" i="15"/>
  <c r="B44" i="15"/>
  <c r="O18" i="18"/>
  <c r="B43" i="15"/>
  <c r="B42" i="15"/>
  <c r="O16" i="18" s="1"/>
  <c r="B41" i="15"/>
  <c r="O15" i="18" s="1"/>
  <c r="B40" i="15"/>
  <c r="B39" i="15"/>
  <c r="O13" i="18"/>
  <c r="B38" i="15"/>
  <c r="O12" i="18" s="1"/>
  <c r="B37" i="15"/>
  <c r="O11" i="18"/>
  <c r="B36" i="15"/>
  <c r="O10" i="18" s="1"/>
  <c r="B35" i="15"/>
  <c r="O9" i="18"/>
  <c r="B34" i="15"/>
  <c r="O8" i="18" s="1"/>
  <c r="B33" i="15"/>
  <c r="O7" i="18"/>
  <c r="B32" i="15"/>
  <c r="B31" i="15"/>
  <c r="B30" i="15"/>
  <c r="O4" i="18"/>
  <c r="M5" i="15"/>
  <c r="Q5" i="15" s="1"/>
  <c r="C5" i="15" s="1"/>
  <c r="S6" i="12" s="1"/>
  <c r="AF6" i="12" s="1"/>
  <c r="M6" i="15"/>
  <c r="Q6" i="15" s="1"/>
  <c r="C6" i="15" s="1"/>
  <c r="S7" i="12" s="1"/>
  <c r="AF7" i="12" s="1"/>
  <c r="M7" i="15"/>
  <c r="Q7" i="15"/>
  <c r="C7" i="15"/>
  <c r="S8" i="12" s="1"/>
  <c r="AF8" i="12" s="1"/>
  <c r="M8" i="15"/>
  <c r="Q8" i="15" s="1"/>
  <c r="C8" i="15" s="1"/>
  <c r="M9" i="15"/>
  <c r="Q9" i="15" s="1"/>
  <c r="C9" i="15" s="1"/>
  <c r="S10" i="12" s="1"/>
  <c r="AF10" i="12" s="1"/>
  <c r="M10" i="15"/>
  <c r="Q10" i="15"/>
  <c r="C10" i="15"/>
  <c r="S11" i="12" s="1"/>
  <c r="AF11" i="12" s="1"/>
  <c r="M11" i="15"/>
  <c r="Q11" i="15"/>
  <c r="C11" i="15" s="1"/>
  <c r="M12" i="15"/>
  <c r="Q12" i="15" s="1"/>
  <c r="C12" i="15"/>
  <c r="S13" i="12" s="1"/>
  <c r="AF13" i="12" s="1"/>
  <c r="M13" i="15"/>
  <c r="Q13" i="15" s="1"/>
  <c r="C13" i="15" s="1"/>
  <c r="M14" i="15"/>
  <c r="Q14" i="15"/>
  <c r="C14" i="15" s="1"/>
  <c r="S15" i="12" s="1"/>
  <c r="AF15" i="12" s="1"/>
  <c r="M15" i="15"/>
  <c r="Q15" i="15" s="1"/>
  <c r="C15" i="15" s="1"/>
  <c r="S16" i="12" s="1"/>
  <c r="AF16" i="12" s="1"/>
  <c r="M16" i="15"/>
  <c r="Q16" i="15" s="1"/>
  <c r="C16" i="15" s="1"/>
  <c r="S17" i="12" s="1"/>
  <c r="AF17" i="12" s="1"/>
  <c r="M17" i="15"/>
  <c r="Q17" i="15" s="1"/>
  <c r="C17" i="15" s="1"/>
  <c r="S18" i="12" s="1"/>
  <c r="AF18" i="12" s="1"/>
  <c r="M18" i="15"/>
  <c r="Q18" i="15" s="1"/>
  <c r="C18" i="15" s="1"/>
  <c r="M19" i="15"/>
  <c r="Q19" i="15" s="1"/>
  <c r="C19" i="15" s="1"/>
  <c r="M20" i="15"/>
  <c r="Q20" i="15"/>
  <c r="C20" i="15" s="1"/>
  <c r="M21" i="15"/>
  <c r="Q21" i="15" s="1"/>
  <c r="C21" i="15" s="1"/>
  <c r="S22" i="12" s="1"/>
  <c r="AF22" i="12" s="1"/>
  <c r="M22" i="15"/>
  <c r="Q22" i="15"/>
  <c r="C22" i="15"/>
  <c r="S23" i="12"/>
  <c r="AF23" i="12" s="1"/>
  <c r="M23" i="15"/>
  <c r="Q23" i="15"/>
  <c r="C23" i="15" s="1"/>
  <c r="S24" i="12" s="1"/>
  <c r="AF24" i="12" s="1"/>
  <c r="M24" i="15"/>
  <c r="Q24" i="15" s="1"/>
  <c r="C24" i="15" s="1"/>
  <c r="S25" i="12" s="1"/>
  <c r="AF25" i="12" s="1"/>
  <c r="M25" i="15"/>
  <c r="Q25" i="15"/>
  <c r="C25" i="15"/>
  <c r="M26" i="15"/>
  <c r="Q26" i="15" s="1"/>
  <c r="C26" i="15" s="1"/>
  <c r="S27" i="12" s="1"/>
  <c r="AF27" i="12" s="1"/>
  <c r="M27" i="15"/>
  <c r="Q27" i="15" s="1"/>
  <c r="C27" i="15" s="1"/>
  <c r="M28" i="15"/>
  <c r="Q28" i="15"/>
  <c r="C28" i="15" s="1"/>
  <c r="S29" i="12" s="1"/>
  <c r="AF29" i="12" s="1"/>
  <c r="M29" i="15"/>
  <c r="Q29" i="15"/>
  <c r="C29" i="15" s="1"/>
  <c r="M4" i="15"/>
  <c r="Q4" i="15" s="1"/>
  <c r="C4" i="15" s="1"/>
  <c r="S5" i="12" s="1"/>
  <c r="AF5" i="12" s="1"/>
  <c r="M31" i="15"/>
  <c r="Q31" i="15" s="1"/>
  <c r="C31" i="15" s="1"/>
  <c r="M32" i="15"/>
  <c r="Q32" i="15"/>
  <c r="C32" i="15" s="1"/>
  <c r="P6" i="18"/>
  <c r="M33" i="15"/>
  <c r="Q33" i="15" s="1"/>
  <c r="C33" i="15" s="1"/>
  <c r="S34" i="12" s="1"/>
  <c r="AF34" i="12" s="1"/>
  <c r="P7" i="18"/>
  <c r="M34" i="15"/>
  <c r="Q34" i="15" s="1"/>
  <c r="C34" i="15" s="1"/>
  <c r="M35" i="15"/>
  <c r="Q35" i="15"/>
  <c r="C35" i="15" s="1"/>
  <c r="S36" i="12" s="1"/>
  <c r="M36" i="15"/>
  <c r="Q36" i="15" s="1"/>
  <c r="C36" i="15" s="1"/>
  <c r="P10" i="18" s="1"/>
  <c r="M37" i="15"/>
  <c r="Q37" i="15" s="1"/>
  <c r="C37" i="15" s="1"/>
  <c r="M38" i="15"/>
  <c r="Q38" i="15"/>
  <c r="C38" i="15" s="1"/>
  <c r="M39" i="15"/>
  <c r="Q39" i="15" s="1"/>
  <c r="C39" i="15"/>
  <c r="M40" i="15"/>
  <c r="Q40" i="15"/>
  <c r="C40" i="15"/>
  <c r="P14" i="18"/>
  <c r="M41" i="15"/>
  <c r="Q41" i="15" s="1"/>
  <c r="C41" i="15" s="1"/>
  <c r="P15" i="18" s="1"/>
  <c r="M42" i="15"/>
  <c r="Q42" i="15"/>
  <c r="C42" i="15" s="1"/>
  <c r="M43" i="15"/>
  <c r="Q43" i="15" s="1"/>
  <c r="C43" i="15" s="1"/>
  <c r="P17" i="18" s="1"/>
  <c r="M44" i="15"/>
  <c r="Q44" i="15"/>
  <c r="C44" i="15" s="1"/>
  <c r="M45" i="15"/>
  <c r="Q45" i="15"/>
  <c r="C45" i="15" s="1"/>
  <c r="P19" i="18" s="1"/>
  <c r="U19" i="18" s="1"/>
  <c r="M46" i="15"/>
  <c r="Q46" i="15" s="1"/>
  <c r="C46" i="15"/>
  <c r="M47" i="15"/>
  <c r="Q47" i="15" s="1"/>
  <c r="C47" i="15" s="1"/>
  <c r="P21" i="18"/>
  <c r="U21" i="18" s="1"/>
  <c r="M48" i="15"/>
  <c r="Q48" i="15" s="1"/>
  <c r="C48" i="15" s="1"/>
  <c r="P22" i="18" s="1"/>
  <c r="M49" i="15"/>
  <c r="Q49" i="15"/>
  <c r="C49" i="15" s="1"/>
  <c r="M50" i="15"/>
  <c r="Q50" i="15" s="1"/>
  <c r="C50" i="15" s="1"/>
  <c r="M51" i="15"/>
  <c r="Q51" i="15"/>
  <c r="C51" i="15"/>
  <c r="M52" i="15"/>
  <c r="Q52" i="15" s="1"/>
  <c r="C52" i="15" s="1"/>
  <c r="P26" i="18" s="1"/>
  <c r="M53" i="15"/>
  <c r="Q53" i="15" s="1"/>
  <c r="C53" i="15"/>
  <c r="M54" i="15"/>
  <c r="Q54" i="15"/>
  <c r="C54" i="15"/>
  <c r="M55" i="15"/>
  <c r="Q55" i="15" s="1"/>
  <c r="C55" i="15" s="1"/>
  <c r="M56" i="15"/>
  <c r="Q56" i="15"/>
  <c r="C56" i="15" s="1"/>
  <c r="P30" i="18"/>
  <c r="M57" i="15"/>
  <c r="Q57" i="15" s="1"/>
  <c r="C57" i="15" s="1"/>
  <c r="S58" i="12" s="1"/>
  <c r="AF58" i="12" s="1"/>
  <c r="P31" i="18"/>
  <c r="M58" i="15"/>
  <c r="Q58" i="15" s="1"/>
  <c r="C58" i="15" s="1"/>
  <c r="M59" i="15"/>
  <c r="Q59" i="15" s="1"/>
  <c r="C59" i="15" s="1"/>
  <c r="M60" i="15"/>
  <c r="Q60" i="15"/>
  <c r="C60" i="15" s="1"/>
  <c r="S61" i="12" s="1"/>
  <c r="M61" i="15"/>
  <c r="Q61" i="15" s="1"/>
  <c r="C61" i="15" s="1"/>
  <c r="M62" i="15"/>
  <c r="Q62" i="15"/>
  <c r="C62" i="15" s="1"/>
  <c r="S63" i="12" s="1"/>
  <c r="AF63" i="12" s="1"/>
  <c r="M63" i="15"/>
  <c r="Q63" i="15"/>
  <c r="C63" i="15"/>
  <c r="S64" i="12" s="1"/>
  <c r="AF64" i="12" s="1"/>
  <c r="M30" i="15"/>
  <c r="Q30" i="15"/>
  <c r="C30" i="15" s="1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4" i="15"/>
  <c r="F33" i="18"/>
  <c r="F32" i="18"/>
  <c r="D32" i="18"/>
  <c r="F31" i="18"/>
  <c r="C31" i="18"/>
  <c r="D31" i="18" s="1"/>
  <c r="C32" i="18"/>
  <c r="F30" i="18"/>
  <c r="D30" i="18" s="1"/>
  <c r="F29" i="18"/>
  <c r="D29" i="18"/>
  <c r="F28" i="18"/>
  <c r="D28" i="18"/>
  <c r="F27" i="18"/>
  <c r="D27" i="18"/>
  <c r="F26" i="18"/>
  <c r="D26" i="18"/>
  <c r="F25" i="18"/>
  <c r="D25" i="18"/>
  <c r="F24" i="18"/>
  <c r="D24" i="18" s="1"/>
  <c r="F23" i="18"/>
  <c r="D23" i="18"/>
  <c r="F22" i="18"/>
  <c r="D22" i="18"/>
  <c r="F21" i="18"/>
  <c r="D21" i="18"/>
  <c r="F20" i="18"/>
  <c r="D20" i="18"/>
  <c r="F19" i="18"/>
  <c r="D19" i="18"/>
  <c r="F18" i="18"/>
  <c r="D18" i="18" s="1"/>
  <c r="F17" i="18"/>
  <c r="D17" i="18"/>
  <c r="F16" i="18"/>
  <c r="D16" i="18"/>
  <c r="F15" i="18"/>
  <c r="D15" i="18"/>
  <c r="F14" i="18"/>
  <c r="D14" i="18"/>
  <c r="F13" i="18"/>
  <c r="D13" i="18"/>
  <c r="F12" i="18"/>
  <c r="D12" i="18" s="1"/>
  <c r="F11" i="18"/>
  <c r="D11" i="18"/>
  <c r="F10" i="18"/>
  <c r="D10" i="18"/>
  <c r="F9" i="18"/>
  <c r="D9" i="18"/>
  <c r="F8" i="18"/>
  <c r="D8" i="18"/>
  <c r="F7" i="18"/>
  <c r="D7" i="18"/>
  <c r="F6" i="18"/>
  <c r="D6" i="18" s="1"/>
  <c r="F5" i="18"/>
  <c r="D5" i="18"/>
  <c r="F4" i="18"/>
  <c r="D4" i="18"/>
  <c r="G32" i="17"/>
  <c r="G31" i="17"/>
  <c r="G30" i="17" s="1"/>
  <c r="G29" i="17" s="1"/>
  <c r="G28" i="17" s="1"/>
  <c r="G27" i="17" s="1"/>
  <c r="G26" i="17" s="1"/>
  <c r="G25" i="17" s="1"/>
  <c r="G24" i="17" s="1"/>
  <c r="G23" i="17" s="1"/>
  <c r="G22" i="17" s="1"/>
  <c r="G21" i="17" s="1"/>
  <c r="G20" i="17" s="1"/>
  <c r="G19" i="17" s="1"/>
  <c r="G18" i="17" s="1"/>
  <c r="G17" i="17" s="1"/>
  <c r="G16" i="17" s="1"/>
  <c r="G15" i="17" s="1"/>
  <c r="G14" i="17" s="1"/>
  <c r="G13" i="17" s="1"/>
  <c r="G12" i="17" s="1"/>
  <c r="G11" i="17" s="1"/>
  <c r="G10" i="17" s="1"/>
  <c r="G9" i="17" s="1"/>
  <c r="G8" i="17" s="1"/>
  <c r="G7" i="17" s="1"/>
  <c r="G6" i="17" s="1"/>
  <c r="G33" i="17"/>
  <c r="G34" i="17" s="1"/>
  <c r="G35" i="17"/>
  <c r="G36" i="17" s="1"/>
  <c r="G37" i="17" s="1"/>
  <c r="G38" i="17" s="1"/>
  <c r="G39" i="17" s="1"/>
  <c r="G40" i="17" s="1"/>
  <c r="G41" i="17" s="1"/>
  <c r="G42" i="17" s="1"/>
  <c r="G43" i="17" s="1"/>
  <c r="G44" i="17" s="1"/>
  <c r="G45" i="17" s="1"/>
  <c r="G46" i="17" s="1"/>
  <c r="G47" i="17" s="1"/>
  <c r="G48" i="17" s="1"/>
  <c r="G49" i="17" s="1"/>
  <c r="G50" i="17" s="1"/>
  <c r="G51" i="17" s="1"/>
  <c r="G52" i="17" s="1"/>
  <c r="G53" i="17" s="1"/>
  <c r="G54" i="17" s="1"/>
  <c r="G55" i="17" s="1"/>
  <c r="G56" i="17" s="1"/>
  <c r="G57" i="17" s="1"/>
  <c r="G58" i="17" s="1"/>
  <c r="G59" i="17" s="1"/>
  <c r="G60" i="17" s="1"/>
  <c r="G61" i="17" s="1"/>
  <c r="G62" i="17" s="1"/>
  <c r="G63" i="17" s="1"/>
  <c r="F32" i="17"/>
  <c r="F33" i="17" s="1"/>
  <c r="F34" i="17" s="1"/>
  <c r="F35" i="17" s="1"/>
  <c r="F36" i="17" s="1"/>
  <c r="F37" i="17" s="1"/>
  <c r="F38" i="17" s="1"/>
  <c r="F39" i="17" s="1"/>
  <c r="F40" i="17" s="1"/>
  <c r="F41" i="17" s="1"/>
  <c r="F42" i="17" s="1"/>
  <c r="F43" i="17" s="1"/>
  <c r="F44" i="17" s="1"/>
  <c r="F45" i="17" s="1"/>
  <c r="F46" i="17" s="1"/>
  <c r="F47" i="17" s="1"/>
  <c r="F48" i="17" s="1"/>
  <c r="F49" i="17" s="1"/>
  <c r="F50" i="17" s="1"/>
  <c r="F51" i="17" s="1"/>
  <c r="F52" i="17" s="1"/>
  <c r="F53" i="17" s="1"/>
  <c r="F54" i="17" s="1"/>
  <c r="F55" i="17" s="1"/>
  <c r="F56" i="17" s="1"/>
  <c r="F57" i="17" s="1"/>
  <c r="F58" i="17" s="1"/>
  <c r="F59" i="17" s="1"/>
  <c r="F60" i="17" s="1"/>
  <c r="F61" i="17" s="1"/>
  <c r="F62" i="17" s="1"/>
  <c r="F63" i="17" s="1"/>
  <c r="F64" i="17" s="1"/>
  <c r="F65" i="17" s="1"/>
  <c r="F66" i="17" s="1"/>
  <c r="M59" i="17"/>
  <c r="M60" i="17"/>
  <c r="M61" i="17"/>
  <c r="M62" i="17"/>
  <c r="M63" i="17"/>
  <c r="M64" i="17"/>
  <c r="M65" i="17"/>
  <c r="M66" i="17"/>
  <c r="N33" i="17"/>
  <c r="N34" i="17" s="1"/>
  <c r="N35" i="17" s="1"/>
  <c r="N36" i="17" s="1"/>
  <c r="N37" i="17"/>
  <c r="N38" i="17" s="1"/>
  <c r="N39" i="17" s="1"/>
  <c r="N40" i="17" s="1"/>
  <c r="N41" i="17" s="1"/>
  <c r="N42" i="17" s="1"/>
  <c r="N43" i="17" s="1"/>
  <c r="N44" i="17" s="1"/>
  <c r="N45" i="17" s="1"/>
  <c r="N46" i="17" s="1"/>
  <c r="N47" i="17" s="1"/>
  <c r="N48" i="17" s="1"/>
  <c r="N49" i="17" s="1"/>
  <c r="N50" i="17" s="1"/>
  <c r="N51" i="17" s="1"/>
  <c r="N52" i="17" s="1"/>
  <c r="N53" i="17" s="1"/>
  <c r="N54" i="17" s="1"/>
  <c r="N55" i="17" s="1"/>
  <c r="N56" i="17" s="1"/>
  <c r="N57" i="17" s="1"/>
  <c r="N58" i="17" s="1"/>
  <c r="N59" i="17" s="1"/>
  <c r="N60" i="17" s="1"/>
  <c r="N61" i="17" s="1"/>
  <c r="N62" i="17" s="1"/>
  <c r="N63" i="17" s="1"/>
  <c r="N64" i="17" s="1"/>
  <c r="N65" i="17" s="1"/>
  <c r="N66" i="17" s="1"/>
  <c r="O40" i="17"/>
  <c r="O41" i="17" s="1"/>
  <c r="O42" i="17"/>
  <c r="O43" i="17" s="1"/>
  <c r="O44" i="17" s="1"/>
  <c r="O45" i="17" s="1"/>
  <c r="O46" i="17"/>
  <c r="O47" i="17" s="1"/>
  <c r="O48" i="17" s="1"/>
  <c r="O49" i="17" s="1"/>
  <c r="O50" i="17" s="1"/>
  <c r="O51" i="17" s="1"/>
  <c r="O52" i="17" s="1"/>
  <c r="O53" i="17" s="1"/>
  <c r="O54" i="17" s="1"/>
  <c r="O55" i="17" s="1"/>
  <c r="O56" i="17" s="1"/>
  <c r="O57" i="17" s="1"/>
  <c r="M58" i="17" s="1"/>
  <c r="A66" i="17"/>
  <c r="A65" i="17"/>
  <c r="A64" i="17"/>
  <c r="A63" i="17"/>
  <c r="A62" i="17"/>
  <c r="A61" i="17"/>
  <c r="A60" i="17"/>
  <c r="A59" i="17"/>
  <c r="A58" i="17"/>
  <c r="A57" i="17"/>
  <c r="A56" i="17"/>
  <c r="A55" i="17"/>
  <c r="A54" i="17"/>
  <c r="A53" i="17"/>
  <c r="A52" i="17"/>
  <c r="A51" i="17"/>
  <c r="A50" i="17"/>
  <c r="A49" i="17"/>
  <c r="A48" i="17"/>
  <c r="A47" i="17"/>
  <c r="A46" i="17"/>
  <c r="A45" i="17"/>
  <c r="A44" i="17"/>
  <c r="A43" i="17"/>
  <c r="A42" i="17"/>
  <c r="A41" i="17"/>
  <c r="A40" i="17"/>
  <c r="A39" i="17"/>
  <c r="A38" i="17"/>
  <c r="A37" i="17"/>
  <c r="A36" i="17"/>
  <c r="A35" i="17"/>
  <c r="A34" i="17"/>
  <c r="A33" i="17"/>
  <c r="A32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8" i="17"/>
  <c r="A7" i="17"/>
  <c r="A6" i="17"/>
  <c r="F65" i="5"/>
  <c r="B65" i="5" s="1"/>
  <c r="C65" i="5" s="1"/>
  <c r="G65" i="5"/>
  <c r="G64" i="5"/>
  <c r="G63" i="5"/>
  <c r="D63" i="5" s="1"/>
  <c r="E63" i="5" s="1"/>
  <c r="G62" i="5"/>
  <c r="G61" i="5"/>
  <c r="G60" i="5"/>
  <c r="G59" i="5"/>
  <c r="D59" i="5" s="1"/>
  <c r="G58" i="5"/>
  <c r="D58" i="5" s="1"/>
  <c r="F64" i="5"/>
  <c r="F63" i="5"/>
  <c r="B63" i="5"/>
  <c r="C63" i="5" s="1"/>
  <c r="F62" i="5"/>
  <c r="B62" i="5" s="1"/>
  <c r="C62" i="5" s="1"/>
  <c r="F61" i="5"/>
  <c r="F60" i="5"/>
  <c r="F59" i="5"/>
  <c r="F58" i="5"/>
  <c r="B58" i="5" s="1"/>
  <c r="C58" i="5" s="1"/>
  <c r="O65" i="8"/>
  <c r="O64" i="8"/>
  <c r="O63" i="8"/>
  <c r="O62" i="8"/>
  <c r="O61" i="8"/>
  <c r="O60" i="8"/>
  <c r="O59" i="8"/>
  <c r="O58" i="8"/>
  <c r="O57" i="8"/>
  <c r="O56" i="8"/>
  <c r="AM52" i="5"/>
  <c r="AL52" i="5"/>
  <c r="AK52" i="5"/>
  <c r="AJ52" i="5"/>
  <c r="AI52" i="5"/>
  <c r="AH52" i="5"/>
  <c r="AH53" i="5" s="1"/>
  <c r="AG52" i="5"/>
  <c r="AF52" i="5"/>
  <c r="AE52" i="5"/>
  <c r="AE53" i="5" s="1"/>
  <c r="AD52" i="5"/>
  <c r="AC52" i="5"/>
  <c r="AB52" i="5"/>
  <c r="AA52" i="5"/>
  <c r="AA53" i="5" s="1"/>
  <c r="Z52" i="5"/>
  <c r="Z53" i="5" s="1"/>
  <c r="AL34" i="5"/>
  <c r="AL35" i="5" s="1"/>
  <c r="AK34" i="5"/>
  <c r="AK35" i="5" s="1"/>
  <c r="AJ34" i="5"/>
  <c r="AI34" i="5"/>
  <c r="AH34" i="5"/>
  <c r="AG34" i="5"/>
  <c r="AF34" i="5"/>
  <c r="AF35" i="5" s="1"/>
  <c r="AE34" i="5"/>
  <c r="AE35" i="5" s="1"/>
  <c r="AD34" i="5"/>
  <c r="AC34" i="5"/>
  <c r="AB34" i="5"/>
  <c r="AB35" i="5" s="1"/>
  <c r="AA34" i="5"/>
  <c r="Z34" i="5"/>
  <c r="G44" i="5"/>
  <c r="G45" i="5"/>
  <c r="D45" i="5" s="1"/>
  <c r="E45" i="5" s="1"/>
  <c r="G46" i="5"/>
  <c r="D46" i="5" s="1"/>
  <c r="G47" i="5"/>
  <c r="D47" i="5" s="1"/>
  <c r="G48" i="5"/>
  <c r="G49" i="5"/>
  <c r="G50" i="5"/>
  <c r="G51" i="5"/>
  <c r="D51" i="5" s="1"/>
  <c r="E51" i="5" s="1"/>
  <c r="G52" i="5"/>
  <c r="G53" i="5"/>
  <c r="D53" i="5" s="1"/>
  <c r="G54" i="5"/>
  <c r="D54" i="5"/>
  <c r="G55" i="5"/>
  <c r="G56" i="5"/>
  <c r="G57" i="5"/>
  <c r="G43" i="5"/>
  <c r="G38" i="5"/>
  <c r="G33" i="5"/>
  <c r="G34" i="5" s="1"/>
  <c r="G35" i="5" s="1"/>
  <c r="F57" i="5"/>
  <c r="B57" i="5" s="1"/>
  <c r="C57" i="5" s="1"/>
  <c r="F56" i="5"/>
  <c r="B56" i="5" s="1"/>
  <c r="F55" i="5"/>
  <c r="F54" i="5"/>
  <c r="F53" i="5"/>
  <c r="B53" i="5" s="1"/>
  <c r="F52" i="5"/>
  <c r="F51" i="5"/>
  <c r="F50" i="5"/>
  <c r="F49" i="5"/>
  <c r="B49" i="5" s="1"/>
  <c r="C49" i="5" s="1"/>
  <c r="F48" i="5"/>
  <c r="B48" i="5" s="1"/>
  <c r="F47" i="5"/>
  <c r="F46" i="5"/>
  <c r="F45" i="5"/>
  <c r="F44" i="5"/>
  <c r="F43" i="5"/>
  <c r="F38" i="5"/>
  <c r="F33" i="5"/>
  <c r="F34" i="5"/>
  <c r="AA6" i="12"/>
  <c r="AA7" i="12"/>
  <c r="AA8" i="12"/>
  <c r="AA9" i="12"/>
  <c r="AA10" i="12"/>
  <c r="AA11" i="12"/>
  <c r="AA12" i="12"/>
  <c r="AA13" i="12"/>
  <c r="AA14" i="12"/>
  <c r="AA15" i="12"/>
  <c r="AA16" i="12"/>
  <c r="AA17" i="12"/>
  <c r="AA18" i="12"/>
  <c r="AA19" i="12"/>
  <c r="AA20" i="12"/>
  <c r="AA21" i="12"/>
  <c r="AA22" i="12"/>
  <c r="AA23" i="12"/>
  <c r="AA24" i="12"/>
  <c r="AA25" i="12"/>
  <c r="AA26" i="12"/>
  <c r="AA27" i="12"/>
  <c r="AA28" i="12"/>
  <c r="AA29" i="12"/>
  <c r="AA30" i="12"/>
  <c r="AA31" i="12"/>
  <c r="AA32" i="12"/>
  <c r="AA33" i="12"/>
  <c r="AA34" i="12"/>
  <c r="AA35" i="12"/>
  <c r="AA36" i="12"/>
  <c r="AA37" i="12"/>
  <c r="AA38" i="12"/>
  <c r="AA39" i="12"/>
  <c r="AA40" i="12"/>
  <c r="AA41" i="12"/>
  <c r="AA42" i="12"/>
  <c r="AA43" i="12"/>
  <c r="AA44" i="12"/>
  <c r="AA45" i="12"/>
  <c r="AA46" i="12"/>
  <c r="AA47" i="12"/>
  <c r="AA48" i="12"/>
  <c r="AA49" i="12"/>
  <c r="AA50" i="12"/>
  <c r="AA51" i="12"/>
  <c r="AA52" i="12"/>
  <c r="AA53" i="12"/>
  <c r="AA54" i="12"/>
  <c r="AA55" i="12"/>
  <c r="AA56" i="12"/>
  <c r="AA57" i="12"/>
  <c r="AA58" i="12"/>
  <c r="AA59" i="12"/>
  <c r="AA60" i="12"/>
  <c r="AA61" i="12"/>
  <c r="AA62" i="12"/>
  <c r="AA63" i="12"/>
  <c r="AA64" i="12"/>
  <c r="AA65" i="12"/>
  <c r="AA5" i="12"/>
  <c r="Y14" i="12"/>
  <c r="L31" i="12"/>
  <c r="K4" i="18" s="1"/>
  <c r="M31" i="12"/>
  <c r="L4" i="18" s="1"/>
  <c r="L32" i="12"/>
  <c r="K5" i="18" s="1"/>
  <c r="M32" i="12"/>
  <c r="L33" i="12"/>
  <c r="K6" i="18" s="1"/>
  <c r="M33" i="12"/>
  <c r="L34" i="12"/>
  <c r="K7" i="18" s="1"/>
  <c r="M34" i="12"/>
  <c r="L7" i="18" s="1"/>
  <c r="L35" i="12"/>
  <c r="K8" i="18" s="1"/>
  <c r="M35" i="12"/>
  <c r="L8" i="18" s="1"/>
  <c r="L36" i="12"/>
  <c r="K9" i="18" s="1"/>
  <c r="M36" i="12"/>
  <c r="L9" i="18" s="1"/>
  <c r="L37" i="12"/>
  <c r="K10" i="18" s="1"/>
  <c r="M37" i="12"/>
  <c r="L10" i="18" s="1"/>
  <c r="L38" i="12"/>
  <c r="K11" i="18" s="1"/>
  <c r="M38" i="12"/>
  <c r="L11" i="18" s="1"/>
  <c r="L39" i="12"/>
  <c r="K12" i="18" s="1"/>
  <c r="M39" i="12"/>
  <c r="L12" i="18" s="1"/>
  <c r="L40" i="12"/>
  <c r="K13" i="18" s="1"/>
  <c r="M40" i="12"/>
  <c r="L13" i="18" s="1"/>
  <c r="L41" i="12"/>
  <c r="K14" i="18" s="1"/>
  <c r="M41" i="12"/>
  <c r="L14" i="18" s="1"/>
  <c r="L42" i="12"/>
  <c r="K15" i="18" s="1"/>
  <c r="M42" i="12"/>
  <c r="L15" i="18" s="1"/>
  <c r="L43" i="12"/>
  <c r="K16" i="18" s="1"/>
  <c r="M43" i="12"/>
  <c r="L16" i="18" s="1"/>
  <c r="L44" i="12"/>
  <c r="K17" i="18" s="1"/>
  <c r="M44" i="12"/>
  <c r="L17" i="18" s="1"/>
  <c r="L45" i="12"/>
  <c r="K18" i="18" s="1"/>
  <c r="M45" i="12"/>
  <c r="L18" i="18" s="1"/>
  <c r="L46" i="12"/>
  <c r="K19" i="18" s="1"/>
  <c r="M46" i="12"/>
  <c r="L19" i="18" s="1"/>
  <c r="L47" i="12"/>
  <c r="K20" i="18" s="1"/>
  <c r="M47" i="12"/>
  <c r="L20" i="18" s="1"/>
  <c r="L48" i="12"/>
  <c r="K21" i="18" s="1"/>
  <c r="M48" i="12"/>
  <c r="L21" i="18" s="1"/>
  <c r="L49" i="12"/>
  <c r="K22" i="18" s="1"/>
  <c r="M49" i="12"/>
  <c r="L50" i="12"/>
  <c r="K23" i="18" s="1"/>
  <c r="M50" i="12"/>
  <c r="L51" i="12"/>
  <c r="K24" i="18" s="1"/>
  <c r="M51" i="12"/>
  <c r="L24" i="18" s="1"/>
  <c r="L52" i="12"/>
  <c r="K25" i="18" s="1"/>
  <c r="M52" i="12"/>
  <c r="L25" i="18" s="1"/>
  <c r="L53" i="12"/>
  <c r="K26" i="18" s="1"/>
  <c r="M53" i="12"/>
  <c r="L26" i="18" s="1"/>
  <c r="AF9" i="12"/>
  <c r="S19" i="12"/>
  <c r="AF19" i="12" s="1"/>
  <c r="S30" i="12"/>
  <c r="AF30" i="12" s="1"/>
  <c r="S48" i="12"/>
  <c r="AF48" i="12" s="1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K53" i="12"/>
  <c r="E34" i="6"/>
  <c r="F34" i="6"/>
  <c r="C34" i="6"/>
  <c r="AP34" i="6"/>
  <c r="E33" i="6"/>
  <c r="F33" i="6"/>
  <c r="C33" i="6"/>
  <c r="AP33" i="6" s="1"/>
  <c r="E32" i="6"/>
  <c r="F32" i="6"/>
  <c r="C32" i="6"/>
  <c r="AP32" i="6"/>
  <c r="C43" i="6"/>
  <c r="AP43" i="6"/>
  <c r="C42" i="6"/>
  <c r="AP42" i="6"/>
  <c r="C41" i="6"/>
  <c r="AP41" i="6"/>
  <c r="C40" i="6"/>
  <c r="AP40" i="6" s="1"/>
  <c r="C39" i="6"/>
  <c r="AP39" i="6" s="1"/>
  <c r="C38" i="6"/>
  <c r="AP38" i="6"/>
  <c r="C37" i="6"/>
  <c r="AP37" i="6"/>
  <c r="C36" i="6"/>
  <c r="AP36" i="6"/>
  <c r="C35" i="6"/>
  <c r="AP35" i="6"/>
  <c r="C45" i="6"/>
  <c r="AP45" i="6" s="1"/>
  <c r="C46" i="6"/>
  <c r="AP46" i="6" s="1"/>
  <c r="C47" i="6"/>
  <c r="AP47" i="6"/>
  <c r="C48" i="6"/>
  <c r="AP48" i="6"/>
  <c r="C49" i="6"/>
  <c r="AP49" i="6"/>
  <c r="C50" i="6"/>
  <c r="AP50" i="6"/>
  <c r="C51" i="6"/>
  <c r="AP51" i="6" s="1"/>
  <c r="C52" i="6"/>
  <c r="AP52" i="6" s="1"/>
  <c r="C53" i="6"/>
  <c r="AP53" i="6"/>
  <c r="C54" i="6"/>
  <c r="AP54" i="6"/>
  <c r="C55" i="6"/>
  <c r="AP55" i="6"/>
  <c r="C56" i="6"/>
  <c r="AP56" i="6"/>
  <c r="C57" i="6"/>
  <c r="AP57" i="6" s="1"/>
  <c r="C58" i="6"/>
  <c r="AP58" i="6" s="1"/>
  <c r="AV58" i="6" s="1"/>
  <c r="C59" i="6"/>
  <c r="AP59" i="6" s="1"/>
  <c r="AV59" i="6" s="1"/>
  <c r="K58" i="12" s="1"/>
  <c r="C60" i="6"/>
  <c r="AP60" i="6" s="1"/>
  <c r="C61" i="6"/>
  <c r="AP61" i="6" s="1"/>
  <c r="AV61" i="6"/>
  <c r="K60" i="12"/>
  <c r="C62" i="6"/>
  <c r="AP62" i="6"/>
  <c r="C63" i="6"/>
  <c r="AP63" i="6"/>
  <c r="AV63" i="6" s="1"/>
  <c r="K62" i="12" s="1"/>
  <c r="C64" i="6"/>
  <c r="AP64" i="6"/>
  <c r="AV64" i="6" s="1"/>
  <c r="K63" i="12" s="1"/>
  <c r="C65" i="6"/>
  <c r="AP65" i="6"/>
  <c r="AV65" i="6"/>
  <c r="K64" i="12" s="1"/>
  <c r="C66" i="6"/>
  <c r="AP66" i="6" s="1"/>
  <c r="C44" i="6"/>
  <c r="AP44" i="6" s="1"/>
  <c r="G54" i="6"/>
  <c r="G32" i="6"/>
  <c r="K32" i="6"/>
  <c r="S7" i="6"/>
  <c r="G7" i="6"/>
  <c r="K7" i="6"/>
  <c r="S8" i="6"/>
  <c r="G8" i="6"/>
  <c r="K8" i="6"/>
  <c r="S9" i="6"/>
  <c r="G9" i="6"/>
  <c r="K9" i="6"/>
  <c r="S10" i="6"/>
  <c r="G10" i="6"/>
  <c r="K10" i="6"/>
  <c r="S11" i="6"/>
  <c r="G11" i="6"/>
  <c r="K11" i="6"/>
  <c r="S12" i="6"/>
  <c r="G12" i="6"/>
  <c r="K12" i="6"/>
  <c r="S13" i="6"/>
  <c r="G13" i="6"/>
  <c r="K13" i="6"/>
  <c r="S14" i="6"/>
  <c r="G14" i="6"/>
  <c r="K14" i="6"/>
  <c r="S15" i="6"/>
  <c r="G15" i="6"/>
  <c r="K15" i="6"/>
  <c r="S16" i="6"/>
  <c r="G16" i="6"/>
  <c r="K16" i="6"/>
  <c r="S17" i="6"/>
  <c r="G17" i="6"/>
  <c r="K17" i="6"/>
  <c r="S18" i="6"/>
  <c r="G18" i="6"/>
  <c r="K18" i="6"/>
  <c r="S19" i="6"/>
  <c r="G19" i="6"/>
  <c r="K19" i="6"/>
  <c r="S20" i="6"/>
  <c r="G20" i="6"/>
  <c r="K20" i="6"/>
  <c r="S21" i="6"/>
  <c r="G21" i="6"/>
  <c r="K21" i="6"/>
  <c r="S22" i="6"/>
  <c r="G22" i="6"/>
  <c r="K22" i="6"/>
  <c r="S23" i="6"/>
  <c r="G23" i="6"/>
  <c r="K23" i="6"/>
  <c r="S24" i="6"/>
  <c r="G24" i="6"/>
  <c r="K24" i="6"/>
  <c r="S25" i="6"/>
  <c r="AM25" i="6" s="1"/>
  <c r="G25" i="6"/>
  <c r="K25" i="6"/>
  <c r="S26" i="6"/>
  <c r="G26" i="6"/>
  <c r="K26" i="6"/>
  <c r="S27" i="6"/>
  <c r="G27" i="6"/>
  <c r="K27" i="6"/>
  <c r="S28" i="6"/>
  <c r="G28" i="6"/>
  <c r="K28" i="6"/>
  <c r="S29" i="6"/>
  <c r="G29" i="6"/>
  <c r="K29" i="6"/>
  <c r="S30" i="6"/>
  <c r="G30" i="6"/>
  <c r="K30" i="6"/>
  <c r="S31" i="6"/>
  <c r="G31" i="6"/>
  <c r="K31" i="6"/>
  <c r="S32" i="6"/>
  <c r="S33" i="6"/>
  <c r="G33" i="6"/>
  <c r="K33" i="6"/>
  <c r="S34" i="6"/>
  <c r="G34" i="6"/>
  <c r="K34" i="6"/>
  <c r="S35" i="6"/>
  <c r="G35" i="6"/>
  <c r="K35" i="6"/>
  <c r="S36" i="6"/>
  <c r="AM36" i="6" s="1"/>
  <c r="G36" i="6"/>
  <c r="K36" i="6"/>
  <c r="S37" i="6"/>
  <c r="G37" i="6"/>
  <c r="K37" i="6"/>
  <c r="S38" i="6"/>
  <c r="G38" i="6"/>
  <c r="K38" i="6"/>
  <c r="S39" i="6"/>
  <c r="G39" i="6"/>
  <c r="K39" i="6"/>
  <c r="S40" i="6"/>
  <c r="G40" i="6"/>
  <c r="K40" i="6"/>
  <c r="S41" i="6"/>
  <c r="G41" i="6"/>
  <c r="K41" i="6"/>
  <c r="AG41" i="6" s="1"/>
  <c r="S42" i="6"/>
  <c r="G42" i="6"/>
  <c r="K42" i="6"/>
  <c r="S43" i="6"/>
  <c r="G43" i="6"/>
  <c r="K43" i="6"/>
  <c r="S44" i="6"/>
  <c r="G44" i="6"/>
  <c r="S45" i="6"/>
  <c r="G45" i="6"/>
  <c r="S46" i="6"/>
  <c r="G46" i="6"/>
  <c r="S47" i="6"/>
  <c r="G47" i="6"/>
  <c r="S48" i="6"/>
  <c r="G48" i="6"/>
  <c r="S49" i="6"/>
  <c r="G49" i="6"/>
  <c r="S50" i="6"/>
  <c r="G50" i="6"/>
  <c r="S51" i="6"/>
  <c r="G51" i="6"/>
  <c r="S52" i="6"/>
  <c r="G52" i="6"/>
  <c r="S53" i="6"/>
  <c r="G53" i="6"/>
  <c r="S54" i="6"/>
  <c r="S55" i="6"/>
  <c r="G55" i="6"/>
  <c r="S56" i="6"/>
  <c r="G56" i="6"/>
  <c r="S57" i="6"/>
  <c r="G57" i="6"/>
  <c r="S58" i="6"/>
  <c r="G58" i="6"/>
  <c r="S59" i="6"/>
  <c r="G59" i="6"/>
  <c r="S60" i="6"/>
  <c r="G60" i="6"/>
  <c r="S61" i="6"/>
  <c r="G61" i="6"/>
  <c r="S62" i="6"/>
  <c r="G62" i="6"/>
  <c r="S63" i="6"/>
  <c r="G63" i="6"/>
  <c r="S64" i="6"/>
  <c r="G64" i="6"/>
  <c r="S65" i="6"/>
  <c r="G65" i="6"/>
  <c r="S66" i="6"/>
  <c r="G66" i="6"/>
  <c r="S6" i="6"/>
  <c r="G6" i="6"/>
  <c r="K6" i="6"/>
  <c r="V5" i="8"/>
  <c r="W5" i="8" s="1"/>
  <c r="S5" i="8"/>
  <c r="S6" i="8"/>
  <c r="S7" i="8"/>
  <c r="S8" i="8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R5" i="8"/>
  <c r="U6" i="8" s="1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T6" i="8"/>
  <c r="T7" i="8" s="1"/>
  <c r="T8" i="8" s="1"/>
  <c r="T9" i="8" s="1"/>
  <c r="T10" i="8" s="1"/>
  <c r="T11" i="8" s="1"/>
  <c r="T12" i="8" s="1"/>
  <c r="T13" i="8" s="1"/>
  <c r="T14" i="8" s="1"/>
  <c r="T15" i="8" s="1"/>
  <c r="T16" i="8" s="1"/>
  <c r="T17" i="8" s="1"/>
  <c r="T18" i="8" s="1"/>
  <c r="T19" i="8" s="1"/>
  <c r="T20" i="8" s="1"/>
  <c r="T21" i="8" s="1"/>
  <c r="T22" i="8" s="1"/>
  <c r="T23" i="8" s="1"/>
  <c r="T24" i="8" s="1"/>
  <c r="T25" i="8" s="1"/>
  <c r="T26" i="8" s="1"/>
  <c r="T27" i="8" s="1"/>
  <c r="T28" i="8" s="1"/>
  <c r="T29" i="8" s="1"/>
  <c r="T30" i="8" s="1"/>
  <c r="T31" i="8" s="1"/>
  <c r="T32" i="8" s="1"/>
  <c r="T33" i="8" s="1"/>
  <c r="T34" i="8" s="1"/>
  <c r="T35" i="8" s="1"/>
  <c r="T36" i="8" s="1"/>
  <c r="T37" i="8" s="1"/>
  <c r="S37" i="8"/>
  <c r="R37" i="8"/>
  <c r="B40" i="7"/>
  <c r="B4" i="7"/>
  <c r="H32" i="6"/>
  <c r="AH7" i="6" s="1"/>
  <c r="BA7" i="6" s="1"/>
  <c r="L32" i="6"/>
  <c r="L65" i="6"/>
  <c r="L7" i="6"/>
  <c r="V7" i="6"/>
  <c r="W7" i="6"/>
  <c r="I7" i="6"/>
  <c r="J7" i="6"/>
  <c r="B5" i="7"/>
  <c r="L8" i="6"/>
  <c r="V8" i="6"/>
  <c r="W8" i="6"/>
  <c r="I8" i="6"/>
  <c r="J8" i="6"/>
  <c r="B6" i="7"/>
  <c r="L9" i="6"/>
  <c r="AH9" i="6" s="1"/>
  <c r="BA9" i="6" s="1"/>
  <c r="V9" i="6"/>
  <c r="W9" i="6"/>
  <c r="I9" i="6"/>
  <c r="J9" i="6"/>
  <c r="B7" i="7"/>
  <c r="L10" i="6"/>
  <c r="AH10" i="6"/>
  <c r="BA10" i="6" s="1"/>
  <c r="V10" i="6"/>
  <c r="W10" i="6"/>
  <c r="I10" i="6"/>
  <c r="J10" i="6"/>
  <c r="B8" i="7"/>
  <c r="L11" i="6"/>
  <c r="V11" i="6"/>
  <c r="W11" i="6"/>
  <c r="I11" i="6"/>
  <c r="J11" i="6"/>
  <c r="B9" i="7"/>
  <c r="L12" i="6"/>
  <c r="V12" i="6"/>
  <c r="W12" i="6"/>
  <c r="I12" i="6"/>
  <c r="J12" i="6"/>
  <c r="B10" i="7"/>
  <c r="L13" i="6"/>
  <c r="V13" i="6"/>
  <c r="Z13" i="6" s="1"/>
  <c r="W13" i="6"/>
  <c r="I13" i="6"/>
  <c r="J13" i="6"/>
  <c r="B11" i="7"/>
  <c r="L14" i="6"/>
  <c r="V14" i="6"/>
  <c r="W14" i="6"/>
  <c r="I14" i="6"/>
  <c r="J14" i="6"/>
  <c r="B12" i="7"/>
  <c r="L15" i="6"/>
  <c r="AH15" i="6"/>
  <c r="V15" i="6"/>
  <c r="W15" i="6"/>
  <c r="I15" i="6"/>
  <c r="J15" i="6"/>
  <c r="B13" i="7"/>
  <c r="L16" i="6"/>
  <c r="V16" i="6"/>
  <c r="W16" i="6"/>
  <c r="I16" i="6"/>
  <c r="J16" i="6"/>
  <c r="B14" i="7"/>
  <c r="L17" i="6"/>
  <c r="AH17" i="6" s="1"/>
  <c r="V17" i="6"/>
  <c r="W17" i="6"/>
  <c r="I17" i="6"/>
  <c r="J17" i="6"/>
  <c r="B15" i="7"/>
  <c r="L18" i="6"/>
  <c r="V18" i="6"/>
  <c r="W18" i="6"/>
  <c r="I18" i="6"/>
  <c r="J18" i="6"/>
  <c r="B16" i="7"/>
  <c r="L19" i="6"/>
  <c r="V19" i="6"/>
  <c r="W19" i="6"/>
  <c r="I19" i="6"/>
  <c r="J19" i="6"/>
  <c r="B17" i="7"/>
  <c r="L20" i="6"/>
  <c r="V20" i="6"/>
  <c r="W20" i="6"/>
  <c r="I20" i="6"/>
  <c r="J20" i="6"/>
  <c r="B18" i="7"/>
  <c r="L21" i="6"/>
  <c r="V21" i="6"/>
  <c r="W21" i="6"/>
  <c r="I21" i="6"/>
  <c r="J21" i="6"/>
  <c r="B19" i="7"/>
  <c r="L22" i="6"/>
  <c r="V22" i="6"/>
  <c r="W22" i="6"/>
  <c r="I22" i="6"/>
  <c r="J22" i="6"/>
  <c r="B20" i="7"/>
  <c r="L23" i="6"/>
  <c r="AH23" i="6"/>
  <c r="BA23" i="6" s="1"/>
  <c r="V23" i="6"/>
  <c r="W23" i="6"/>
  <c r="I23" i="6"/>
  <c r="J23" i="6"/>
  <c r="B21" i="7"/>
  <c r="L24" i="6"/>
  <c r="V24" i="6"/>
  <c r="W24" i="6"/>
  <c r="I24" i="6"/>
  <c r="J24" i="6"/>
  <c r="B22" i="7"/>
  <c r="L25" i="6"/>
  <c r="AH25" i="6"/>
  <c r="BA25" i="6"/>
  <c r="V25" i="6"/>
  <c r="W25" i="6"/>
  <c r="I25" i="6"/>
  <c r="J25" i="6"/>
  <c r="B23" i="7"/>
  <c r="L26" i="6"/>
  <c r="V26" i="6"/>
  <c r="W26" i="6"/>
  <c r="I26" i="6"/>
  <c r="J26" i="6"/>
  <c r="B24" i="7"/>
  <c r="L27" i="6"/>
  <c r="AH27" i="6" s="1"/>
  <c r="BA27" i="6" s="1"/>
  <c r="V27" i="6"/>
  <c r="W27" i="6"/>
  <c r="I27" i="6"/>
  <c r="J27" i="6"/>
  <c r="B25" i="7"/>
  <c r="L28" i="6"/>
  <c r="V28" i="6"/>
  <c r="W28" i="6"/>
  <c r="I28" i="6"/>
  <c r="J28" i="6"/>
  <c r="B26" i="7"/>
  <c r="L29" i="6"/>
  <c r="V29" i="6"/>
  <c r="W29" i="6"/>
  <c r="I29" i="6"/>
  <c r="J29" i="6"/>
  <c r="B27" i="7"/>
  <c r="L30" i="6"/>
  <c r="AH30" i="6"/>
  <c r="BA30" i="6" s="1"/>
  <c r="V30" i="6"/>
  <c r="W30" i="6"/>
  <c r="I30" i="6"/>
  <c r="J30" i="6"/>
  <c r="B28" i="7"/>
  <c r="L31" i="6"/>
  <c r="AH31" i="6" s="1"/>
  <c r="V31" i="6"/>
  <c r="W31" i="6"/>
  <c r="I31" i="6"/>
  <c r="J31" i="6"/>
  <c r="B29" i="7"/>
  <c r="V32" i="6"/>
  <c r="W32" i="6"/>
  <c r="I32" i="6"/>
  <c r="J32" i="6"/>
  <c r="B30" i="7"/>
  <c r="L33" i="6"/>
  <c r="AH33" i="6" s="1"/>
  <c r="V33" i="6"/>
  <c r="W33" i="6"/>
  <c r="I33" i="6"/>
  <c r="J33" i="6"/>
  <c r="B31" i="7"/>
  <c r="L34" i="6"/>
  <c r="V34" i="6"/>
  <c r="W34" i="6"/>
  <c r="I34" i="6"/>
  <c r="J34" i="6"/>
  <c r="B32" i="7"/>
  <c r="L35" i="6"/>
  <c r="V35" i="6"/>
  <c r="W35" i="6"/>
  <c r="I35" i="6"/>
  <c r="J35" i="6"/>
  <c r="B33" i="7"/>
  <c r="L36" i="6"/>
  <c r="V36" i="6"/>
  <c r="W36" i="6"/>
  <c r="I36" i="6"/>
  <c r="J36" i="6"/>
  <c r="L37" i="6"/>
  <c r="AH37" i="6"/>
  <c r="BA37" i="6" s="1"/>
  <c r="V37" i="6"/>
  <c r="W37" i="6"/>
  <c r="I37" i="6"/>
  <c r="J37" i="6"/>
  <c r="L38" i="6"/>
  <c r="V38" i="6"/>
  <c r="W38" i="6"/>
  <c r="I38" i="6"/>
  <c r="J38" i="6"/>
  <c r="L39" i="6"/>
  <c r="V39" i="6"/>
  <c r="W39" i="6"/>
  <c r="I39" i="6"/>
  <c r="J39" i="6"/>
  <c r="L40" i="6"/>
  <c r="V40" i="6"/>
  <c r="W40" i="6"/>
  <c r="I40" i="6"/>
  <c r="J40" i="6"/>
  <c r="L41" i="6"/>
  <c r="V41" i="6"/>
  <c r="W41" i="6"/>
  <c r="I41" i="6"/>
  <c r="J41" i="6"/>
  <c r="L42" i="6"/>
  <c r="V42" i="6"/>
  <c r="W42" i="6"/>
  <c r="I42" i="6"/>
  <c r="J42" i="6"/>
  <c r="L43" i="6"/>
  <c r="AH43" i="6" s="1"/>
  <c r="BA43" i="6" s="1"/>
  <c r="V43" i="6"/>
  <c r="W43" i="6"/>
  <c r="I43" i="6"/>
  <c r="J43" i="6"/>
  <c r="V44" i="6"/>
  <c r="W44" i="6"/>
  <c r="I44" i="6"/>
  <c r="J44" i="6"/>
  <c r="V45" i="6"/>
  <c r="W45" i="6"/>
  <c r="I45" i="6"/>
  <c r="J45" i="6"/>
  <c r="V46" i="6"/>
  <c r="W46" i="6"/>
  <c r="I46" i="6"/>
  <c r="J46" i="6"/>
  <c r="V47" i="6"/>
  <c r="W47" i="6"/>
  <c r="I47" i="6"/>
  <c r="J47" i="6"/>
  <c r="V48" i="6"/>
  <c r="W48" i="6"/>
  <c r="I48" i="6"/>
  <c r="J48" i="6"/>
  <c r="V49" i="6"/>
  <c r="W49" i="6"/>
  <c r="I49" i="6"/>
  <c r="J49" i="6"/>
  <c r="V50" i="6"/>
  <c r="W50" i="6"/>
  <c r="I50" i="6"/>
  <c r="J50" i="6"/>
  <c r="V51" i="6"/>
  <c r="W51" i="6"/>
  <c r="I51" i="6"/>
  <c r="J51" i="6"/>
  <c r="V52" i="6"/>
  <c r="W52" i="6"/>
  <c r="I52" i="6"/>
  <c r="J52" i="6"/>
  <c r="V53" i="6"/>
  <c r="W53" i="6"/>
  <c r="I53" i="6"/>
  <c r="J53" i="6"/>
  <c r="V54" i="6"/>
  <c r="W54" i="6"/>
  <c r="I54" i="6"/>
  <c r="J54" i="6"/>
  <c r="V55" i="6"/>
  <c r="W55" i="6"/>
  <c r="I55" i="6"/>
  <c r="J55" i="6"/>
  <c r="V56" i="6"/>
  <c r="W56" i="6"/>
  <c r="I56" i="6"/>
  <c r="J56" i="6"/>
  <c r="V57" i="6"/>
  <c r="W57" i="6"/>
  <c r="I57" i="6"/>
  <c r="J57" i="6"/>
  <c r="V58" i="6"/>
  <c r="W58" i="6"/>
  <c r="Z58" i="6" s="1"/>
  <c r="I58" i="6"/>
  <c r="J58" i="6"/>
  <c r="V59" i="6"/>
  <c r="W59" i="6"/>
  <c r="I59" i="6"/>
  <c r="J59" i="6"/>
  <c r="V60" i="6"/>
  <c r="W60" i="6"/>
  <c r="I60" i="6"/>
  <c r="J60" i="6"/>
  <c r="V61" i="6"/>
  <c r="W61" i="6"/>
  <c r="I61" i="6"/>
  <c r="J61" i="6"/>
  <c r="V62" i="6"/>
  <c r="W62" i="6"/>
  <c r="I62" i="6"/>
  <c r="J62" i="6"/>
  <c r="V63" i="6"/>
  <c r="W63" i="6"/>
  <c r="I63" i="6"/>
  <c r="J63" i="6"/>
  <c r="V64" i="6"/>
  <c r="W64" i="6"/>
  <c r="I64" i="6"/>
  <c r="J64" i="6"/>
  <c r="V65" i="6"/>
  <c r="W65" i="6"/>
  <c r="I65" i="6"/>
  <c r="J65" i="6"/>
  <c r="V66" i="6"/>
  <c r="W66" i="6"/>
  <c r="I66" i="6"/>
  <c r="J66" i="6"/>
  <c r="B3" i="7"/>
  <c r="L6" i="6"/>
  <c r="V6" i="6"/>
  <c r="W6" i="6"/>
  <c r="I6" i="6"/>
  <c r="J6" i="6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 s="1"/>
  <c r="F35" i="7"/>
  <c r="F36" i="7"/>
  <c r="F37" i="7"/>
  <c r="F38" i="7"/>
  <c r="F39" i="7"/>
  <c r="F40" i="7"/>
  <c r="F41" i="7"/>
  <c r="F34" i="7"/>
  <c r="M32" i="6"/>
  <c r="M45" i="6" s="1"/>
  <c r="N32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" i="6"/>
  <c r="H7" i="6"/>
  <c r="H8" i="6"/>
  <c r="H9" i="6"/>
  <c r="H10" i="6"/>
  <c r="AD10" i="6" s="1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" i="6"/>
  <c r="B51" i="5"/>
  <c r="C51" i="5"/>
  <c r="B52" i="5"/>
  <c r="Z53" i="6" s="1"/>
  <c r="AA53" i="6" s="1"/>
  <c r="B54" i="5"/>
  <c r="C54" i="5" s="1"/>
  <c r="B55" i="5"/>
  <c r="C55" i="5"/>
  <c r="B59" i="5"/>
  <c r="C59" i="5"/>
  <c r="B60" i="5"/>
  <c r="C60" i="5"/>
  <c r="B61" i="5"/>
  <c r="C61" i="5" s="1"/>
  <c r="B64" i="5"/>
  <c r="C64" i="5" s="1"/>
  <c r="B50" i="5"/>
  <c r="C50" i="5"/>
  <c r="B47" i="5"/>
  <c r="C47" i="5"/>
  <c r="B46" i="5"/>
  <c r="C46" i="5"/>
  <c r="B45" i="5"/>
  <c r="C45" i="5"/>
  <c r="B44" i="5"/>
  <c r="B43" i="5"/>
  <c r="C43" i="5" s="1"/>
  <c r="B38" i="5"/>
  <c r="C38" i="5"/>
  <c r="F39" i="5"/>
  <c r="B39" i="5" s="1"/>
  <c r="B17" i="5"/>
  <c r="Z18" i="6" s="1"/>
  <c r="D55" i="5"/>
  <c r="E55" i="5"/>
  <c r="D56" i="5"/>
  <c r="E56" i="5" s="1"/>
  <c r="D57" i="5"/>
  <c r="E57" i="5" s="1"/>
  <c r="D60" i="5"/>
  <c r="E60" i="5" s="1"/>
  <c r="D61" i="5"/>
  <c r="E61" i="5"/>
  <c r="D62" i="5"/>
  <c r="E62" i="5" s="1"/>
  <c r="D64" i="5"/>
  <c r="E64" i="5" s="1"/>
  <c r="D65" i="5"/>
  <c r="E65" i="5"/>
  <c r="D38" i="5"/>
  <c r="E38" i="5" s="1"/>
  <c r="G39" i="5"/>
  <c r="G40" i="5"/>
  <c r="D43" i="5"/>
  <c r="E43" i="5"/>
  <c r="D44" i="5"/>
  <c r="E44" i="5" s="1"/>
  <c r="E47" i="5"/>
  <c r="D48" i="5"/>
  <c r="E48" i="5" s="1"/>
  <c r="D49" i="5"/>
  <c r="E49" i="5" s="1"/>
  <c r="D50" i="5"/>
  <c r="D52" i="5"/>
  <c r="E52" i="5" s="1"/>
  <c r="D17" i="5"/>
  <c r="E17" i="5" s="1"/>
  <c r="D34" i="5"/>
  <c r="E34" i="5"/>
  <c r="AA88" i="5"/>
  <c r="AA89" i="5"/>
  <c r="AB88" i="5"/>
  <c r="AB89" i="5"/>
  <c r="AC88" i="5"/>
  <c r="AC89" i="5"/>
  <c r="AD88" i="5"/>
  <c r="AD89" i="5" s="1"/>
  <c r="AE88" i="5"/>
  <c r="AE89" i="5"/>
  <c r="AF88" i="5"/>
  <c r="AF89" i="5"/>
  <c r="AG88" i="5"/>
  <c r="AH88" i="5"/>
  <c r="AH89" i="5"/>
  <c r="AI88" i="5"/>
  <c r="AI89" i="5"/>
  <c r="AJ88" i="5"/>
  <c r="AJ89" i="5"/>
  <c r="AK88" i="5"/>
  <c r="AK89" i="5" s="1"/>
  <c r="AL88" i="5"/>
  <c r="AL89" i="5" s="1"/>
  <c r="AM88" i="5"/>
  <c r="AN88" i="5"/>
  <c r="AN89" i="5" s="1"/>
  <c r="AO88" i="5"/>
  <c r="AP88" i="5"/>
  <c r="AQ88" i="5"/>
  <c r="AQ89" i="5"/>
  <c r="AR88" i="5"/>
  <c r="AR89" i="5"/>
  <c r="AS88" i="5"/>
  <c r="AS89" i="5"/>
  <c r="Z88" i="5"/>
  <c r="Z89" i="5"/>
  <c r="AK70" i="5"/>
  <c r="AJ70" i="5"/>
  <c r="AJ71" i="5"/>
  <c r="AI70" i="5"/>
  <c r="AH70" i="5"/>
  <c r="AH71" i="5"/>
  <c r="AG70" i="5"/>
  <c r="AF70" i="5"/>
  <c r="AF71" i="5" s="1"/>
  <c r="AE70" i="5"/>
  <c r="AE71" i="5" s="1"/>
  <c r="AD70" i="5"/>
  <c r="AD71" i="5"/>
  <c r="AC70" i="5"/>
  <c r="AB70" i="5"/>
  <c r="AB71" i="5" s="1"/>
  <c r="AA70" i="5"/>
  <c r="Z70" i="5"/>
  <c r="Z71" i="5"/>
  <c r="AL53" i="5"/>
  <c r="AD53" i="5"/>
  <c r="AB53" i="5"/>
  <c r="D35" i="5"/>
  <c r="E35" i="5" s="1"/>
  <c r="B6" i="5"/>
  <c r="C6" i="5"/>
  <c r="D6" i="5"/>
  <c r="E6" i="5"/>
  <c r="B7" i="5"/>
  <c r="C7" i="5"/>
  <c r="D7" i="5"/>
  <c r="E7" i="5" s="1"/>
  <c r="B8" i="5"/>
  <c r="C8" i="5" s="1"/>
  <c r="D8" i="5"/>
  <c r="E8" i="5" s="1"/>
  <c r="B9" i="5"/>
  <c r="C9" i="5"/>
  <c r="D9" i="5"/>
  <c r="E9" i="5"/>
  <c r="B10" i="5"/>
  <c r="C10" i="5"/>
  <c r="D10" i="5"/>
  <c r="E10" i="5" s="1"/>
  <c r="B11" i="5"/>
  <c r="C11" i="5" s="1"/>
  <c r="D11" i="5"/>
  <c r="E11" i="5"/>
  <c r="B12" i="5"/>
  <c r="D12" i="5"/>
  <c r="E12" i="5" s="1"/>
  <c r="B13" i="5"/>
  <c r="D13" i="5"/>
  <c r="E13" i="5"/>
  <c r="B14" i="5"/>
  <c r="C14" i="5" s="1"/>
  <c r="D14" i="5"/>
  <c r="E14" i="5" s="1"/>
  <c r="B15" i="5"/>
  <c r="C15" i="5"/>
  <c r="D15" i="5"/>
  <c r="E15" i="5"/>
  <c r="B16" i="5"/>
  <c r="C16" i="5"/>
  <c r="D16" i="5"/>
  <c r="E16" i="5"/>
  <c r="D5" i="5"/>
  <c r="E5" i="5" s="1"/>
  <c r="B5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23" i="5"/>
  <c r="W6" i="5"/>
  <c r="W7" i="5"/>
  <c r="W8" i="5"/>
  <c r="W9" i="5"/>
  <c r="W10" i="5"/>
  <c r="W11" i="5"/>
  <c r="W12" i="5"/>
  <c r="W13" i="5"/>
  <c r="W14" i="5"/>
  <c r="W15" i="5"/>
  <c r="W16" i="5"/>
  <c r="W17" i="5"/>
  <c r="W5" i="5"/>
  <c r="T6" i="5"/>
  <c r="T7" i="5"/>
  <c r="T8" i="5"/>
  <c r="T9" i="5"/>
  <c r="T10" i="5"/>
  <c r="T11" i="5"/>
  <c r="T12" i="5"/>
  <c r="T13" i="5"/>
  <c r="T14" i="5"/>
  <c r="T15" i="5"/>
  <c r="T16" i="5"/>
  <c r="T17" i="5"/>
  <c r="T5" i="5"/>
  <c r="AS70" i="5"/>
  <c r="AS71" i="5"/>
  <c r="AR70" i="5"/>
  <c r="AR71" i="5"/>
  <c r="AQ70" i="5"/>
  <c r="AQ71" i="5" s="1"/>
  <c r="AP70" i="5"/>
  <c r="AP71" i="5"/>
  <c r="AO70" i="5"/>
  <c r="AO71" i="5" s="1"/>
  <c r="AN70" i="5"/>
  <c r="AN71" i="5" s="1"/>
  <c r="AM70" i="5"/>
  <c r="AM71" i="5"/>
  <c r="AL70" i="5"/>
  <c r="AL71" i="5"/>
  <c r="AJ35" i="5"/>
  <c r="AI35" i="5"/>
  <c r="AH35" i="5"/>
  <c r="AG35" i="5"/>
  <c r="AD35" i="5"/>
  <c r="AC35" i="5"/>
  <c r="AA35" i="5"/>
  <c r="Z35" i="5"/>
  <c r="AL17" i="5"/>
  <c r="AL18" i="5" s="1"/>
  <c r="AK17" i="5"/>
  <c r="AK18" i="5" s="1"/>
  <c r="AJ17" i="5"/>
  <c r="AJ18" i="5"/>
  <c r="AI17" i="5"/>
  <c r="AI18" i="5" s="1"/>
  <c r="AH17" i="5"/>
  <c r="AH18" i="5" s="1"/>
  <c r="AG17" i="5"/>
  <c r="AG18" i="5"/>
  <c r="AF17" i="5"/>
  <c r="AF18" i="5" s="1"/>
  <c r="AE17" i="5"/>
  <c r="AE18" i="5" s="1"/>
  <c r="AD17" i="5"/>
  <c r="AD18" i="5"/>
  <c r="AC17" i="5"/>
  <c r="AC18" i="5" s="1"/>
  <c r="AB17" i="5"/>
  <c r="AB18" i="5" s="1"/>
  <c r="AA17" i="5"/>
  <c r="AA18" i="5"/>
  <c r="Z17" i="5"/>
  <c r="Z18" i="5" s="1"/>
  <c r="X45" i="6"/>
  <c r="X46" i="6"/>
  <c r="X47" i="6"/>
  <c r="X48" i="6"/>
  <c r="X49" i="6"/>
  <c r="X50" i="6"/>
  <c r="X51" i="6"/>
  <c r="X52" i="6"/>
  <c r="X53" i="6"/>
  <c r="X54" i="6"/>
  <c r="X55" i="6"/>
  <c r="X56" i="6"/>
  <c r="X57" i="6"/>
  <c r="X58" i="6"/>
  <c r="X59" i="6"/>
  <c r="X60" i="6"/>
  <c r="X61" i="6"/>
  <c r="X62" i="6"/>
  <c r="X63" i="6"/>
  <c r="X64" i="6"/>
  <c r="X65" i="6"/>
  <c r="X66" i="6"/>
  <c r="X44" i="6"/>
  <c r="D63" i="6"/>
  <c r="AQ63" i="6" s="1"/>
  <c r="AW63" i="6" s="1"/>
  <c r="L62" i="12" s="1"/>
  <c r="E63" i="6"/>
  <c r="F63" i="6"/>
  <c r="D64" i="6"/>
  <c r="AQ64" i="6"/>
  <c r="AW64" i="6" s="1"/>
  <c r="L63" i="12" s="1"/>
  <c r="E64" i="6"/>
  <c r="AR64" i="6"/>
  <c r="AX64" i="6"/>
  <c r="F64" i="6"/>
  <c r="D65" i="6"/>
  <c r="AQ65" i="6"/>
  <c r="AW65" i="6"/>
  <c r="L64" i="12" s="1"/>
  <c r="E65" i="6"/>
  <c r="F65" i="6"/>
  <c r="D66" i="6"/>
  <c r="AQ66" i="6"/>
  <c r="AW66" i="6"/>
  <c r="L65" i="12"/>
  <c r="E66" i="6"/>
  <c r="F66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B45" i="6"/>
  <c r="Q44" i="12"/>
  <c r="D45" i="6"/>
  <c r="AQ45" i="6" s="1"/>
  <c r="E45" i="6"/>
  <c r="AR45" i="6" s="1"/>
  <c r="F45" i="6"/>
  <c r="O45" i="6"/>
  <c r="P45" i="6"/>
  <c r="Q45" i="6"/>
  <c r="T45" i="6"/>
  <c r="U45" i="6"/>
  <c r="B46" i="6"/>
  <c r="Q45" i="12"/>
  <c r="D46" i="6"/>
  <c r="AQ46" i="6" s="1"/>
  <c r="E46" i="6"/>
  <c r="AR46" i="6" s="1"/>
  <c r="F46" i="6"/>
  <c r="O46" i="6"/>
  <c r="P46" i="6"/>
  <c r="Q46" i="6"/>
  <c r="T46" i="6"/>
  <c r="U46" i="6"/>
  <c r="B47" i="6"/>
  <c r="Q46" i="12"/>
  <c r="D47" i="6"/>
  <c r="AQ47" i="6" s="1"/>
  <c r="E47" i="6"/>
  <c r="F47" i="6"/>
  <c r="O47" i="6"/>
  <c r="P47" i="6"/>
  <c r="Q47" i="6"/>
  <c r="T47" i="6"/>
  <c r="U47" i="6"/>
  <c r="B48" i="6"/>
  <c r="Q47" i="12" s="1"/>
  <c r="D48" i="6"/>
  <c r="AQ48" i="6" s="1"/>
  <c r="E48" i="6"/>
  <c r="F48" i="6"/>
  <c r="O48" i="6"/>
  <c r="P48" i="6"/>
  <c r="Q48" i="6"/>
  <c r="T48" i="6"/>
  <c r="U48" i="6"/>
  <c r="B49" i="6"/>
  <c r="Q48" i="12" s="1"/>
  <c r="D49" i="6"/>
  <c r="AQ49" i="6"/>
  <c r="E49" i="6"/>
  <c r="F49" i="6"/>
  <c r="O49" i="6"/>
  <c r="P49" i="6"/>
  <c r="Q49" i="6"/>
  <c r="T49" i="6"/>
  <c r="U49" i="6"/>
  <c r="B50" i="6"/>
  <c r="Q49" i="12" s="1"/>
  <c r="D50" i="6"/>
  <c r="AQ50" i="6" s="1"/>
  <c r="E50" i="6"/>
  <c r="AR50" i="6" s="1"/>
  <c r="F50" i="6"/>
  <c r="O50" i="6"/>
  <c r="P50" i="6"/>
  <c r="Q50" i="6"/>
  <c r="T50" i="6"/>
  <c r="U50" i="6"/>
  <c r="B51" i="6"/>
  <c r="Q50" i="12" s="1"/>
  <c r="D51" i="6"/>
  <c r="AQ51" i="6" s="1"/>
  <c r="E51" i="6"/>
  <c r="F51" i="6"/>
  <c r="AR51" i="6"/>
  <c r="O51" i="6"/>
  <c r="P51" i="6"/>
  <c r="Q51" i="6"/>
  <c r="T51" i="6"/>
  <c r="U51" i="6"/>
  <c r="B52" i="6"/>
  <c r="Q51" i="12"/>
  <c r="D52" i="6"/>
  <c r="AQ52" i="6" s="1"/>
  <c r="E52" i="6"/>
  <c r="F52" i="6"/>
  <c r="O52" i="6"/>
  <c r="P52" i="6"/>
  <c r="Q52" i="6"/>
  <c r="T52" i="6"/>
  <c r="U52" i="6"/>
  <c r="B53" i="6"/>
  <c r="Q52" i="12"/>
  <c r="D53" i="6"/>
  <c r="AQ53" i="6" s="1"/>
  <c r="E53" i="6"/>
  <c r="F53" i="6"/>
  <c r="O53" i="6"/>
  <c r="P53" i="6"/>
  <c r="Q53" i="6"/>
  <c r="T53" i="6"/>
  <c r="U53" i="6"/>
  <c r="B54" i="6"/>
  <c r="Q53" i="12"/>
  <c r="D54" i="6"/>
  <c r="AQ54" i="6"/>
  <c r="E54" i="6"/>
  <c r="AR54" i="6"/>
  <c r="F54" i="6"/>
  <c r="O54" i="6"/>
  <c r="P54" i="6"/>
  <c r="Q54" i="6"/>
  <c r="T54" i="6"/>
  <c r="U54" i="6"/>
  <c r="B55" i="6"/>
  <c r="Q54" i="12"/>
  <c r="D55" i="6"/>
  <c r="AQ55" i="6"/>
  <c r="AW55" i="6" s="1"/>
  <c r="L54" i="12" s="1"/>
  <c r="K27" i="18" s="1"/>
  <c r="E55" i="6"/>
  <c r="AR55" i="6"/>
  <c r="AX55" i="6" s="1"/>
  <c r="F55" i="6"/>
  <c r="O55" i="6"/>
  <c r="P55" i="6"/>
  <c r="Q55" i="6"/>
  <c r="T55" i="6"/>
  <c r="U55" i="6"/>
  <c r="B56" i="6"/>
  <c r="Q55" i="12"/>
  <c r="D56" i="6"/>
  <c r="AQ56" i="6"/>
  <c r="AW56" i="6"/>
  <c r="L55" i="12" s="1"/>
  <c r="K28" i="18" s="1"/>
  <c r="E56" i="6"/>
  <c r="F56" i="6"/>
  <c r="O56" i="6"/>
  <c r="P56" i="6"/>
  <c r="Q56" i="6"/>
  <c r="T56" i="6"/>
  <c r="U56" i="6"/>
  <c r="B57" i="6"/>
  <c r="Q56" i="12"/>
  <c r="D57" i="6"/>
  <c r="AQ57" i="6" s="1"/>
  <c r="AW57" i="6" s="1"/>
  <c r="L56" i="12" s="1"/>
  <c r="K29" i="18" s="1"/>
  <c r="E57" i="6"/>
  <c r="F57" i="6"/>
  <c r="O57" i="6"/>
  <c r="P57" i="6"/>
  <c r="Q57" i="6"/>
  <c r="T57" i="6"/>
  <c r="U57" i="6"/>
  <c r="B58" i="6"/>
  <c r="Q57" i="12" s="1"/>
  <c r="D58" i="6"/>
  <c r="AQ58" i="6" s="1"/>
  <c r="AW58" i="6" s="1"/>
  <c r="L57" i="12" s="1"/>
  <c r="K30" i="18" s="1"/>
  <c r="E58" i="6"/>
  <c r="F58" i="6"/>
  <c r="O58" i="6"/>
  <c r="P58" i="6"/>
  <c r="Q58" i="6"/>
  <c r="T58" i="6"/>
  <c r="U58" i="6"/>
  <c r="B59" i="6"/>
  <c r="Q58" i="12" s="1"/>
  <c r="D59" i="6"/>
  <c r="AQ59" i="6"/>
  <c r="AW59" i="6"/>
  <c r="L58" i="12" s="1"/>
  <c r="K31" i="18" s="1"/>
  <c r="E59" i="6"/>
  <c r="F59" i="6"/>
  <c r="O59" i="6"/>
  <c r="P59" i="6"/>
  <c r="Q59" i="6"/>
  <c r="T59" i="6"/>
  <c r="U59" i="6"/>
  <c r="B60" i="6"/>
  <c r="Q59" i="12"/>
  <c r="D60" i="6"/>
  <c r="AQ60" i="6" s="1"/>
  <c r="AW60" i="6" s="1"/>
  <c r="L59" i="12" s="1"/>
  <c r="K32" i="18" s="1"/>
  <c r="E60" i="6"/>
  <c r="AR60" i="6"/>
  <c r="AX60" i="6" s="1"/>
  <c r="F60" i="6"/>
  <c r="O60" i="6"/>
  <c r="P60" i="6"/>
  <c r="Q60" i="6"/>
  <c r="T60" i="6"/>
  <c r="U60" i="6"/>
  <c r="B61" i="6"/>
  <c r="Q60" i="12" s="1"/>
  <c r="D61" i="6"/>
  <c r="AQ61" i="6" s="1"/>
  <c r="AW61" i="6" s="1"/>
  <c r="L60" i="12" s="1"/>
  <c r="E61" i="6"/>
  <c r="F61" i="6"/>
  <c r="O61" i="6"/>
  <c r="P61" i="6"/>
  <c r="Q61" i="6"/>
  <c r="T61" i="6"/>
  <c r="U61" i="6"/>
  <c r="B62" i="6"/>
  <c r="Q61" i="12" s="1"/>
  <c r="D62" i="6"/>
  <c r="AQ62" i="6"/>
  <c r="AW62" i="6" s="1"/>
  <c r="L61" i="12" s="1"/>
  <c r="E62" i="6"/>
  <c r="AR62" i="6" s="1"/>
  <c r="F62" i="6"/>
  <c r="AX62" i="6"/>
  <c r="M61" i="12"/>
  <c r="O62" i="6"/>
  <c r="P62" i="6"/>
  <c r="Q62" i="6"/>
  <c r="T62" i="6"/>
  <c r="U62" i="6"/>
  <c r="B63" i="6"/>
  <c r="Q62" i="12" s="1"/>
  <c r="O63" i="6"/>
  <c r="P63" i="6"/>
  <c r="Q63" i="6"/>
  <c r="T63" i="6"/>
  <c r="U63" i="6"/>
  <c r="B64" i="6"/>
  <c r="Q63" i="12" s="1"/>
  <c r="O64" i="6"/>
  <c r="P64" i="6"/>
  <c r="Q64" i="6"/>
  <c r="T64" i="6"/>
  <c r="U64" i="6"/>
  <c r="B65" i="6"/>
  <c r="Q64" i="12"/>
  <c r="O65" i="6"/>
  <c r="P65" i="6"/>
  <c r="Q65" i="6"/>
  <c r="T65" i="6"/>
  <c r="U65" i="6"/>
  <c r="B66" i="6"/>
  <c r="Q65" i="12" s="1"/>
  <c r="O66" i="6"/>
  <c r="P66" i="6"/>
  <c r="Q66" i="6"/>
  <c r="T66" i="6"/>
  <c r="U66" i="6"/>
  <c r="B6" i="6"/>
  <c r="Q5" i="12" s="1"/>
  <c r="C6" i="6"/>
  <c r="AP6" i="6"/>
  <c r="AV6" i="6" s="1"/>
  <c r="K5" i="12" s="1"/>
  <c r="D6" i="6"/>
  <c r="AQ6" i="6"/>
  <c r="AW6" i="6" s="1"/>
  <c r="L5" i="12" s="1"/>
  <c r="E6" i="6"/>
  <c r="F6" i="6"/>
  <c r="M6" i="6"/>
  <c r="N6" i="6"/>
  <c r="O6" i="6"/>
  <c r="P6" i="6"/>
  <c r="U6" i="6"/>
  <c r="X6" i="6"/>
  <c r="B7" i="6"/>
  <c r="Q6" i="12"/>
  <c r="C7" i="6"/>
  <c r="AP7" i="6"/>
  <c r="AV7" i="6" s="1"/>
  <c r="K6" i="12" s="1"/>
  <c r="D7" i="6"/>
  <c r="AQ7" i="6" s="1"/>
  <c r="AW7" i="6" s="1"/>
  <c r="L6" i="12" s="1"/>
  <c r="E7" i="6"/>
  <c r="F7" i="6"/>
  <c r="M7" i="6"/>
  <c r="N7" i="6"/>
  <c r="O7" i="6"/>
  <c r="P7" i="6"/>
  <c r="U7" i="6"/>
  <c r="X7" i="6"/>
  <c r="B8" i="6"/>
  <c r="Q7" i="12" s="1"/>
  <c r="C8" i="6"/>
  <c r="AP8" i="6"/>
  <c r="AV8" i="6" s="1"/>
  <c r="K7" i="12" s="1"/>
  <c r="D8" i="6"/>
  <c r="AQ8" i="6"/>
  <c r="AW8" i="6" s="1"/>
  <c r="L7" i="12" s="1"/>
  <c r="E8" i="6"/>
  <c r="F8" i="6"/>
  <c r="AR8" i="6" s="1"/>
  <c r="AX8" i="6" s="1"/>
  <c r="M7" i="12" s="1"/>
  <c r="M8" i="6"/>
  <c r="N8" i="6"/>
  <c r="O8" i="6"/>
  <c r="P8" i="6"/>
  <c r="U8" i="6"/>
  <c r="X8" i="6"/>
  <c r="B9" i="6"/>
  <c r="Q8" i="12" s="1"/>
  <c r="C9" i="6"/>
  <c r="AP9" i="6" s="1"/>
  <c r="AV9" i="6"/>
  <c r="K8" i="12" s="1"/>
  <c r="D9" i="6"/>
  <c r="AQ9" i="6" s="1"/>
  <c r="AW9" i="6" s="1"/>
  <c r="L8" i="12" s="1"/>
  <c r="E9" i="6"/>
  <c r="F9" i="6"/>
  <c r="M9" i="6"/>
  <c r="N9" i="6"/>
  <c r="O9" i="6"/>
  <c r="P9" i="6"/>
  <c r="U9" i="6"/>
  <c r="X9" i="6"/>
  <c r="B10" i="6"/>
  <c r="Q9" i="12" s="1"/>
  <c r="C10" i="6"/>
  <c r="AP10" i="6" s="1"/>
  <c r="AV10" i="6" s="1"/>
  <c r="K9" i="12" s="1"/>
  <c r="D10" i="6"/>
  <c r="AQ10" i="6" s="1"/>
  <c r="AW10" i="6" s="1"/>
  <c r="L9" i="12" s="1"/>
  <c r="E10" i="6"/>
  <c r="F10" i="6"/>
  <c r="M10" i="6"/>
  <c r="N10" i="6"/>
  <c r="O10" i="6"/>
  <c r="P10" i="6"/>
  <c r="U10" i="6"/>
  <c r="X10" i="6"/>
  <c r="B11" i="6"/>
  <c r="Q10" i="12"/>
  <c r="C11" i="6"/>
  <c r="AP11" i="6" s="1"/>
  <c r="AV11" i="6" s="1"/>
  <c r="K10" i="12" s="1"/>
  <c r="D11" i="6"/>
  <c r="AQ11" i="6"/>
  <c r="AW11" i="6"/>
  <c r="L10" i="12"/>
  <c r="E11" i="6"/>
  <c r="F11" i="6"/>
  <c r="AR11" i="6" s="1"/>
  <c r="AX11" i="6"/>
  <c r="M10" i="12"/>
  <c r="M11" i="6"/>
  <c r="N11" i="6"/>
  <c r="O11" i="6"/>
  <c r="P11" i="6"/>
  <c r="U11" i="6"/>
  <c r="X11" i="6"/>
  <c r="B12" i="6"/>
  <c r="Q11" i="12" s="1"/>
  <c r="C12" i="6"/>
  <c r="AP12" i="6" s="1"/>
  <c r="AV12" i="6"/>
  <c r="K11" i="12" s="1"/>
  <c r="D12" i="6"/>
  <c r="AQ12" i="6" s="1"/>
  <c r="AW12" i="6" s="1"/>
  <c r="L11" i="12" s="1"/>
  <c r="E12" i="6"/>
  <c r="F12" i="6"/>
  <c r="AR12" i="6" s="1"/>
  <c r="AX12" i="6" s="1"/>
  <c r="M11" i="12" s="1"/>
  <c r="M12" i="6"/>
  <c r="N12" i="6"/>
  <c r="O12" i="6"/>
  <c r="P12" i="6"/>
  <c r="U12" i="6"/>
  <c r="X12" i="6"/>
  <c r="B13" i="6"/>
  <c r="Q12" i="12" s="1"/>
  <c r="C13" i="6"/>
  <c r="AP13" i="6" s="1"/>
  <c r="AV13" i="6" s="1"/>
  <c r="K12" i="12" s="1"/>
  <c r="D13" i="6"/>
  <c r="AQ13" i="6" s="1"/>
  <c r="AW13" i="6" s="1"/>
  <c r="L12" i="12" s="1"/>
  <c r="E13" i="6"/>
  <c r="AR13" i="6"/>
  <c r="AX13" i="6" s="1"/>
  <c r="M12" i="12" s="1"/>
  <c r="F13" i="6"/>
  <c r="M13" i="6"/>
  <c r="N13" i="6"/>
  <c r="O13" i="6"/>
  <c r="P13" i="6"/>
  <c r="U13" i="6"/>
  <c r="X13" i="6"/>
  <c r="B14" i="6"/>
  <c r="Q13" i="12"/>
  <c r="C14" i="6"/>
  <c r="AP14" i="6"/>
  <c r="AV14" i="6"/>
  <c r="K13" i="12" s="1"/>
  <c r="D14" i="6"/>
  <c r="AQ14" i="6"/>
  <c r="AW14" i="6" s="1"/>
  <c r="L13" i="12" s="1"/>
  <c r="E14" i="6"/>
  <c r="AR14" i="6"/>
  <c r="AX14" i="6" s="1"/>
  <c r="M13" i="12" s="1"/>
  <c r="F14" i="6"/>
  <c r="M14" i="6"/>
  <c r="N14" i="6"/>
  <c r="O14" i="6"/>
  <c r="P14" i="6"/>
  <c r="U14" i="6"/>
  <c r="X14" i="6"/>
  <c r="B15" i="6"/>
  <c r="Q14" i="12"/>
  <c r="C15" i="6"/>
  <c r="AP15" i="6" s="1"/>
  <c r="AV15" i="6" s="1"/>
  <c r="K14" i="12" s="1"/>
  <c r="D15" i="6"/>
  <c r="AQ15" i="6"/>
  <c r="AW15" i="6" s="1"/>
  <c r="L14" i="12" s="1"/>
  <c r="E15" i="6"/>
  <c r="AR15" i="6" s="1"/>
  <c r="AX15" i="6" s="1"/>
  <c r="F15" i="6"/>
  <c r="M15" i="6"/>
  <c r="N15" i="6"/>
  <c r="O15" i="6"/>
  <c r="P15" i="6"/>
  <c r="T15" i="6"/>
  <c r="U15" i="6"/>
  <c r="X15" i="6"/>
  <c r="B16" i="6"/>
  <c r="Q15" i="12"/>
  <c r="C16" i="6"/>
  <c r="AP16" i="6"/>
  <c r="AV16" i="6"/>
  <c r="K15" i="12"/>
  <c r="D16" i="6"/>
  <c r="AQ16" i="6"/>
  <c r="AW16" i="6" s="1"/>
  <c r="L15" i="12" s="1"/>
  <c r="E16" i="6"/>
  <c r="AR16" i="6" s="1"/>
  <c r="AX16" i="6" s="1"/>
  <c r="M15" i="12" s="1"/>
  <c r="F16" i="6"/>
  <c r="M16" i="6"/>
  <c r="N16" i="6"/>
  <c r="O16" i="6"/>
  <c r="P16" i="6"/>
  <c r="U16" i="6"/>
  <c r="X16" i="6"/>
  <c r="B17" i="6"/>
  <c r="Q16" i="12"/>
  <c r="C17" i="6"/>
  <c r="AP17" i="6" s="1"/>
  <c r="AV17" i="6" s="1"/>
  <c r="K16" i="12" s="1"/>
  <c r="D17" i="6"/>
  <c r="AQ17" i="6"/>
  <c r="AW17" i="6"/>
  <c r="L16" i="12" s="1"/>
  <c r="E17" i="6"/>
  <c r="F17" i="6"/>
  <c r="AR17" i="6"/>
  <c r="AX17" i="6"/>
  <c r="M16" i="12" s="1"/>
  <c r="M17" i="6"/>
  <c r="N17" i="6"/>
  <c r="O17" i="6"/>
  <c r="P17" i="6"/>
  <c r="U17" i="6"/>
  <c r="X17" i="6"/>
  <c r="B18" i="6"/>
  <c r="Q17" i="12"/>
  <c r="C18" i="6"/>
  <c r="AP18" i="6"/>
  <c r="AV18" i="6"/>
  <c r="K17" i="12" s="1"/>
  <c r="D18" i="6"/>
  <c r="AQ18" i="6"/>
  <c r="AW18" i="6" s="1"/>
  <c r="L17" i="12" s="1"/>
  <c r="E18" i="6"/>
  <c r="F18" i="6"/>
  <c r="M18" i="6"/>
  <c r="N18" i="6"/>
  <c r="O18" i="6"/>
  <c r="P18" i="6"/>
  <c r="U18" i="6"/>
  <c r="X18" i="6"/>
  <c r="B19" i="6"/>
  <c r="Q18" i="12"/>
  <c r="C19" i="6"/>
  <c r="AP19" i="6"/>
  <c r="AV19" i="6"/>
  <c r="K18" i="12"/>
  <c r="D19" i="6"/>
  <c r="AQ19" i="6"/>
  <c r="AW19" i="6" s="1"/>
  <c r="L18" i="12" s="1"/>
  <c r="E19" i="6"/>
  <c r="AR19" i="6" s="1"/>
  <c r="F19" i="6"/>
  <c r="M19" i="6"/>
  <c r="N19" i="6"/>
  <c r="O19" i="6"/>
  <c r="P19" i="6"/>
  <c r="U19" i="6"/>
  <c r="X19" i="6"/>
  <c r="B20" i="6"/>
  <c r="Q19" i="12"/>
  <c r="C20" i="6"/>
  <c r="AP20" i="6"/>
  <c r="AV20" i="6"/>
  <c r="K19" i="12" s="1"/>
  <c r="D20" i="6"/>
  <c r="AQ20" i="6"/>
  <c r="AW20" i="6" s="1"/>
  <c r="L19" i="12" s="1"/>
  <c r="E20" i="6"/>
  <c r="AR20" i="6"/>
  <c r="AX20" i="6" s="1"/>
  <c r="M19" i="12" s="1"/>
  <c r="F20" i="6"/>
  <c r="M20" i="6"/>
  <c r="N20" i="6"/>
  <c r="O20" i="6"/>
  <c r="P20" i="6"/>
  <c r="U20" i="6"/>
  <c r="X20" i="6"/>
  <c r="B21" i="6"/>
  <c r="Q20" i="12"/>
  <c r="C21" i="6"/>
  <c r="AP21" i="6"/>
  <c r="AV21" i="6" s="1"/>
  <c r="K20" i="12" s="1"/>
  <c r="D21" i="6"/>
  <c r="AQ21" i="6"/>
  <c r="AW21" i="6" s="1"/>
  <c r="L20" i="12" s="1"/>
  <c r="E21" i="6"/>
  <c r="F21" i="6"/>
  <c r="M21" i="6"/>
  <c r="N21" i="6"/>
  <c r="O21" i="6"/>
  <c r="P21" i="6"/>
  <c r="U21" i="6"/>
  <c r="X21" i="6"/>
  <c r="B22" i="6"/>
  <c r="Q21" i="12"/>
  <c r="C22" i="6"/>
  <c r="AP22" i="6" s="1"/>
  <c r="AV22" i="6" s="1"/>
  <c r="K21" i="12" s="1"/>
  <c r="D22" i="6"/>
  <c r="AQ22" i="6"/>
  <c r="AW22" i="6"/>
  <c r="L21" i="12" s="1"/>
  <c r="E22" i="6"/>
  <c r="F22" i="6"/>
  <c r="AR22" i="6"/>
  <c r="AX22" i="6"/>
  <c r="M21" i="12" s="1"/>
  <c r="M22" i="6"/>
  <c r="N22" i="6"/>
  <c r="O22" i="6"/>
  <c r="P22" i="6"/>
  <c r="Q22" i="6"/>
  <c r="U22" i="6"/>
  <c r="X22" i="6"/>
  <c r="B23" i="6"/>
  <c r="Q22" i="12" s="1"/>
  <c r="C23" i="6"/>
  <c r="AP23" i="6"/>
  <c r="AV23" i="6" s="1"/>
  <c r="K22" i="12" s="1"/>
  <c r="D23" i="6"/>
  <c r="AQ23" i="6" s="1"/>
  <c r="AW23" i="6" s="1"/>
  <c r="L22" i="12" s="1"/>
  <c r="E23" i="6"/>
  <c r="F23" i="6"/>
  <c r="M23" i="6"/>
  <c r="N23" i="6"/>
  <c r="O23" i="6"/>
  <c r="P23" i="6"/>
  <c r="U23" i="6"/>
  <c r="X23" i="6"/>
  <c r="B24" i="6"/>
  <c r="Q23" i="12" s="1"/>
  <c r="C24" i="6"/>
  <c r="AP24" i="6"/>
  <c r="AV24" i="6"/>
  <c r="K23" i="12" s="1"/>
  <c r="D24" i="6"/>
  <c r="AQ24" i="6" s="1"/>
  <c r="AW24" i="6"/>
  <c r="L23" i="12" s="1"/>
  <c r="E24" i="6"/>
  <c r="F24" i="6"/>
  <c r="M24" i="6"/>
  <c r="N24" i="6"/>
  <c r="O24" i="6"/>
  <c r="P24" i="6"/>
  <c r="U24" i="6"/>
  <c r="X24" i="6"/>
  <c r="B25" i="6"/>
  <c r="Q24" i="12" s="1"/>
  <c r="C25" i="6"/>
  <c r="AP25" i="6"/>
  <c r="AV25" i="6" s="1"/>
  <c r="K24" i="12" s="1"/>
  <c r="D25" i="6"/>
  <c r="AQ25" i="6" s="1"/>
  <c r="AW25" i="6" s="1"/>
  <c r="L24" i="12" s="1"/>
  <c r="E25" i="6"/>
  <c r="F25" i="6"/>
  <c r="M25" i="6"/>
  <c r="N25" i="6"/>
  <c r="O25" i="6"/>
  <c r="P25" i="6"/>
  <c r="U25" i="6"/>
  <c r="X25" i="6"/>
  <c r="B26" i="6"/>
  <c r="Q25" i="12" s="1"/>
  <c r="C26" i="6"/>
  <c r="AP26" i="6"/>
  <c r="AV26" i="6"/>
  <c r="K25" i="12" s="1"/>
  <c r="D26" i="6"/>
  <c r="AQ26" i="6" s="1"/>
  <c r="AW26" i="6"/>
  <c r="L25" i="12"/>
  <c r="E26" i="6"/>
  <c r="F26" i="6"/>
  <c r="M26" i="6"/>
  <c r="N26" i="6"/>
  <c r="O26" i="6"/>
  <c r="P26" i="6"/>
  <c r="U26" i="6"/>
  <c r="X26" i="6"/>
  <c r="B27" i="6"/>
  <c r="Q26" i="12" s="1"/>
  <c r="C27" i="6"/>
  <c r="AP27" i="6"/>
  <c r="AV27" i="6" s="1"/>
  <c r="K26" i="12" s="1"/>
  <c r="D27" i="6"/>
  <c r="AQ27" i="6" s="1"/>
  <c r="AW27" i="6" s="1"/>
  <c r="L26" i="12" s="1"/>
  <c r="E27" i="6"/>
  <c r="F27" i="6"/>
  <c r="M27" i="6"/>
  <c r="N27" i="6"/>
  <c r="O27" i="6"/>
  <c r="P27" i="6"/>
  <c r="U27" i="6"/>
  <c r="X27" i="6"/>
  <c r="B28" i="6"/>
  <c r="Q27" i="12" s="1"/>
  <c r="C28" i="6"/>
  <c r="AP28" i="6"/>
  <c r="AV28" i="6"/>
  <c r="K27" i="12" s="1"/>
  <c r="D28" i="6"/>
  <c r="AQ28" i="6" s="1"/>
  <c r="AW28" i="6" s="1"/>
  <c r="L27" i="12" s="1"/>
  <c r="E28" i="6"/>
  <c r="AR28" i="6" s="1"/>
  <c r="AX28" i="6" s="1"/>
  <c r="M27" i="12" s="1"/>
  <c r="F28" i="6"/>
  <c r="M28" i="6"/>
  <c r="N28" i="6"/>
  <c r="O28" i="6"/>
  <c r="P28" i="6"/>
  <c r="U28" i="6"/>
  <c r="X28" i="6"/>
  <c r="B29" i="6"/>
  <c r="Q28" i="12" s="1"/>
  <c r="C29" i="6"/>
  <c r="AP29" i="6" s="1"/>
  <c r="AV29" i="6" s="1"/>
  <c r="K28" i="12" s="1"/>
  <c r="D29" i="6"/>
  <c r="AQ29" i="6" s="1"/>
  <c r="AW29" i="6" s="1"/>
  <c r="L28" i="12" s="1"/>
  <c r="E29" i="6"/>
  <c r="AR29" i="6" s="1"/>
  <c r="AX29" i="6" s="1"/>
  <c r="M28" i="12" s="1"/>
  <c r="F29" i="6"/>
  <c r="M29" i="6"/>
  <c r="N29" i="6"/>
  <c r="O29" i="6"/>
  <c r="P29" i="6"/>
  <c r="U29" i="6"/>
  <c r="X29" i="6"/>
  <c r="B30" i="6"/>
  <c r="Q29" i="12"/>
  <c r="C30" i="6"/>
  <c r="AP30" i="6" s="1"/>
  <c r="AV30" i="6" s="1"/>
  <c r="K29" i="12" s="1"/>
  <c r="D30" i="6"/>
  <c r="AQ30" i="6" s="1"/>
  <c r="AW30" i="6" s="1"/>
  <c r="L29" i="12" s="1"/>
  <c r="E30" i="6"/>
  <c r="AR30" i="6" s="1"/>
  <c r="AX30" i="6"/>
  <c r="M29" i="12" s="1"/>
  <c r="F30" i="6"/>
  <c r="M30" i="6"/>
  <c r="N30" i="6"/>
  <c r="O30" i="6"/>
  <c r="P30" i="6"/>
  <c r="U30" i="6"/>
  <c r="X30" i="6"/>
  <c r="B31" i="6"/>
  <c r="Q30" i="12"/>
  <c r="C31" i="6"/>
  <c r="AP31" i="6"/>
  <c r="AV31" i="6" s="1"/>
  <c r="K30" i="12" s="1"/>
  <c r="D31" i="6"/>
  <c r="AQ31" i="6"/>
  <c r="AW31" i="6" s="1"/>
  <c r="L30" i="12" s="1"/>
  <c r="E31" i="6"/>
  <c r="AR31" i="6" s="1"/>
  <c r="AX31" i="6" s="1"/>
  <c r="M30" i="12" s="1"/>
  <c r="F31" i="6"/>
  <c r="M31" i="6"/>
  <c r="N31" i="6"/>
  <c r="O31" i="6"/>
  <c r="P31" i="6"/>
  <c r="U31" i="6"/>
  <c r="X31" i="6"/>
  <c r="B32" i="6"/>
  <c r="Q31" i="12"/>
  <c r="D32" i="6"/>
  <c r="AQ32" i="6" s="1"/>
  <c r="O32" i="6"/>
  <c r="P32" i="6"/>
  <c r="Q32" i="6"/>
  <c r="T32" i="6"/>
  <c r="U32" i="6"/>
  <c r="X32" i="6"/>
  <c r="B33" i="6"/>
  <c r="Q32" i="12" s="1"/>
  <c r="D33" i="6"/>
  <c r="AQ33" i="6"/>
  <c r="M33" i="6"/>
  <c r="N33" i="6"/>
  <c r="O33" i="6"/>
  <c r="P33" i="6"/>
  <c r="Q33" i="6"/>
  <c r="T33" i="6"/>
  <c r="U33" i="6"/>
  <c r="X33" i="6"/>
  <c r="B34" i="6"/>
  <c r="Q33" i="12" s="1"/>
  <c r="D34" i="6"/>
  <c r="AQ34" i="6"/>
  <c r="M34" i="6"/>
  <c r="N34" i="6"/>
  <c r="O34" i="6"/>
  <c r="P34" i="6"/>
  <c r="Q34" i="6"/>
  <c r="T34" i="6"/>
  <c r="U34" i="6"/>
  <c r="X34" i="6"/>
  <c r="B35" i="6"/>
  <c r="Q34" i="12" s="1"/>
  <c r="D35" i="6"/>
  <c r="AQ35" i="6"/>
  <c r="E35" i="6"/>
  <c r="F35" i="6"/>
  <c r="M35" i="6"/>
  <c r="N35" i="6"/>
  <c r="O35" i="6"/>
  <c r="P35" i="6"/>
  <c r="Q35" i="6"/>
  <c r="T35" i="6"/>
  <c r="U35" i="6"/>
  <c r="X35" i="6"/>
  <c r="B36" i="6"/>
  <c r="Q35" i="12"/>
  <c r="D36" i="6"/>
  <c r="AQ36" i="6" s="1"/>
  <c r="E36" i="6"/>
  <c r="F36" i="6"/>
  <c r="M36" i="6"/>
  <c r="N36" i="6"/>
  <c r="O36" i="6"/>
  <c r="P36" i="6"/>
  <c r="Q36" i="6"/>
  <c r="T36" i="6"/>
  <c r="U36" i="6"/>
  <c r="X36" i="6"/>
  <c r="B37" i="6"/>
  <c r="Q36" i="12" s="1"/>
  <c r="D37" i="6"/>
  <c r="AQ37" i="6" s="1"/>
  <c r="E37" i="6"/>
  <c r="F37" i="6"/>
  <c r="M37" i="6"/>
  <c r="N37" i="6"/>
  <c r="O37" i="6"/>
  <c r="P37" i="6"/>
  <c r="Q37" i="6"/>
  <c r="T37" i="6"/>
  <c r="U37" i="6"/>
  <c r="X37" i="6"/>
  <c r="B38" i="6"/>
  <c r="Q37" i="12"/>
  <c r="D38" i="6"/>
  <c r="AQ38" i="6" s="1"/>
  <c r="E38" i="6"/>
  <c r="F38" i="6"/>
  <c r="M38" i="6"/>
  <c r="N38" i="6"/>
  <c r="O38" i="6"/>
  <c r="P38" i="6"/>
  <c r="Q38" i="6"/>
  <c r="T38" i="6"/>
  <c r="U38" i="6"/>
  <c r="X38" i="6"/>
  <c r="B39" i="6"/>
  <c r="Q38" i="12" s="1"/>
  <c r="D39" i="6"/>
  <c r="AQ39" i="6"/>
  <c r="E39" i="6"/>
  <c r="F39" i="6"/>
  <c r="AR39" i="6"/>
  <c r="M39" i="6"/>
  <c r="N39" i="6"/>
  <c r="O39" i="6"/>
  <c r="P39" i="6"/>
  <c r="Q39" i="6"/>
  <c r="T39" i="6"/>
  <c r="U39" i="6"/>
  <c r="X39" i="6"/>
  <c r="B40" i="6"/>
  <c r="Q39" i="12" s="1"/>
  <c r="D40" i="6"/>
  <c r="AQ40" i="6"/>
  <c r="E40" i="6"/>
  <c r="AR40" i="6" s="1"/>
  <c r="F40" i="6"/>
  <c r="M40" i="6"/>
  <c r="N40" i="6"/>
  <c r="O40" i="6"/>
  <c r="P40" i="6"/>
  <c r="Q40" i="6"/>
  <c r="T40" i="6"/>
  <c r="U40" i="6"/>
  <c r="X40" i="6"/>
  <c r="B41" i="6"/>
  <c r="Q40" i="12"/>
  <c r="D41" i="6"/>
  <c r="AQ41" i="6"/>
  <c r="E41" i="6"/>
  <c r="F41" i="6"/>
  <c r="M41" i="6"/>
  <c r="N41" i="6"/>
  <c r="O41" i="6"/>
  <c r="P41" i="6"/>
  <c r="Q41" i="6"/>
  <c r="T41" i="6"/>
  <c r="U41" i="6"/>
  <c r="X41" i="6"/>
  <c r="B42" i="6"/>
  <c r="Q41" i="12"/>
  <c r="D42" i="6"/>
  <c r="AQ42" i="6"/>
  <c r="E42" i="6"/>
  <c r="F42" i="6"/>
  <c r="M42" i="6"/>
  <c r="N42" i="6"/>
  <c r="O42" i="6"/>
  <c r="P42" i="6"/>
  <c r="Q42" i="6"/>
  <c r="T42" i="6"/>
  <c r="U42" i="6"/>
  <c r="X42" i="6"/>
  <c r="X43" i="6"/>
  <c r="D43" i="6"/>
  <c r="AQ43" i="6"/>
  <c r="E43" i="6"/>
  <c r="F43" i="6"/>
  <c r="M43" i="6"/>
  <c r="N43" i="6"/>
  <c r="O43" i="6"/>
  <c r="P43" i="6"/>
  <c r="Q43" i="6"/>
  <c r="T43" i="6"/>
  <c r="U43" i="6"/>
  <c r="D44" i="6"/>
  <c r="AQ44" i="6"/>
  <c r="E44" i="6"/>
  <c r="AR44" i="6" s="1"/>
  <c r="F44" i="6"/>
  <c r="O44" i="6"/>
  <c r="P44" i="6"/>
  <c r="Q44" i="6"/>
  <c r="T44" i="6"/>
  <c r="U44" i="6"/>
  <c r="B44" i="6"/>
  <c r="Q43" i="12" s="1"/>
  <c r="B43" i="6"/>
  <c r="Q42" i="12"/>
  <c r="X63" i="1"/>
  <c r="X62" i="1"/>
  <c r="X61" i="1"/>
  <c r="T33" i="1"/>
  <c r="T31" i="6" s="1"/>
  <c r="Q33" i="1"/>
  <c r="Q31" i="6"/>
  <c r="T32" i="1"/>
  <c r="T30" i="6"/>
  <c r="Q32" i="1"/>
  <c r="Q30" i="6" s="1"/>
  <c r="T31" i="1"/>
  <c r="T29" i="6"/>
  <c r="Q31" i="1"/>
  <c r="Q29" i="6" s="1"/>
  <c r="T30" i="1"/>
  <c r="T28" i="6" s="1"/>
  <c r="Q30" i="1"/>
  <c r="Q28" i="6" s="1"/>
  <c r="T29" i="1"/>
  <c r="T27" i="6"/>
  <c r="Q29" i="1"/>
  <c r="Q27" i="6" s="1"/>
  <c r="T28" i="1"/>
  <c r="T26" i="6"/>
  <c r="Q28" i="1"/>
  <c r="Q26" i="6" s="1"/>
  <c r="T27" i="1"/>
  <c r="T25" i="6"/>
  <c r="Q27" i="1"/>
  <c r="Q25" i="6" s="1"/>
  <c r="T26" i="1"/>
  <c r="T24" i="6" s="1"/>
  <c r="Q26" i="1"/>
  <c r="Q24" i="6"/>
  <c r="T25" i="1"/>
  <c r="T23" i="6"/>
  <c r="Q25" i="1"/>
  <c r="Q23" i="6" s="1"/>
  <c r="T24" i="1"/>
  <c r="T22" i="6"/>
  <c r="Q24" i="1"/>
  <c r="T23" i="1"/>
  <c r="T21" i="6"/>
  <c r="Q23" i="1"/>
  <c r="Q21" i="6" s="1"/>
  <c r="T22" i="1"/>
  <c r="T20" i="6"/>
  <c r="Q22" i="1"/>
  <c r="Q20" i="6"/>
  <c r="T21" i="1"/>
  <c r="T19" i="6" s="1"/>
  <c r="Q21" i="1"/>
  <c r="Q19" i="6"/>
  <c r="T20" i="1"/>
  <c r="T18" i="6" s="1"/>
  <c r="Q20" i="1"/>
  <c r="Q18" i="6"/>
  <c r="T19" i="1"/>
  <c r="T17" i="6" s="1"/>
  <c r="Q19" i="1"/>
  <c r="Q17" i="6"/>
  <c r="T18" i="1"/>
  <c r="T16" i="6" s="1"/>
  <c r="Q18" i="1"/>
  <c r="Q16" i="6"/>
  <c r="T17" i="1"/>
  <c r="Q17" i="1"/>
  <c r="Q15" i="6"/>
  <c r="T16" i="1"/>
  <c r="T14" i="6"/>
  <c r="Q16" i="1"/>
  <c r="Q14" i="6" s="1"/>
  <c r="T15" i="1"/>
  <c r="T13" i="6" s="1"/>
  <c r="Q15" i="1"/>
  <c r="Q13" i="6" s="1"/>
  <c r="T14" i="1"/>
  <c r="T12" i="6" s="1"/>
  <c r="Q14" i="1"/>
  <c r="Q12" i="6"/>
  <c r="T13" i="1"/>
  <c r="T11" i="6"/>
  <c r="Q13" i="1"/>
  <c r="Q11" i="6" s="1"/>
  <c r="T12" i="1"/>
  <c r="T10" i="6"/>
  <c r="Q12" i="1"/>
  <c r="Q10" i="6" s="1"/>
  <c r="T11" i="1"/>
  <c r="T9" i="6" s="1"/>
  <c r="Q11" i="1"/>
  <c r="Q9" i="6"/>
  <c r="T10" i="1"/>
  <c r="T8" i="6" s="1"/>
  <c r="Q10" i="1"/>
  <c r="Q8" i="6" s="1"/>
  <c r="T9" i="1"/>
  <c r="T7" i="6"/>
  <c r="Q9" i="1"/>
  <c r="Q7" i="6" s="1"/>
  <c r="T8" i="1"/>
  <c r="T6" i="6" s="1"/>
  <c r="Q8" i="1"/>
  <c r="Q6" i="6"/>
  <c r="AP89" i="5"/>
  <c r="F40" i="5"/>
  <c r="AF53" i="5"/>
  <c r="AM53" i="5"/>
  <c r="AC71" i="5"/>
  <c r="AG71" i="5"/>
  <c r="D39" i="5"/>
  <c r="E39" i="5" s="1"/>
  <c r="AI53" i="5"/>
  <c r="AK71" i="5"/>
  <c r="AJ53" i="5"/>
  <c r="AG53" i="5"/>
  <c r="AA71" i="5"/>
  <c r="AI71" i="5"/>
  <c r="AM89" i="5"/>
  <c r="AC53" i="5"/>
  <c r="AK53" i="5"/>
  <c r="D18" i="5"/>
  <c r="AG89" i="5"/>
  <c r="AO89" i="5"/>
  <c r="U7" i="8"/>
  <c r="V6" i="8"/>
  <c r="AR9" i="6"/>
  <c r="AX9" i="6"/>
  <c r="M8" i="12" s="1"/>
  <c r="AR56" i="6"/>
  <c r="AX56" i="6"/>
  <c r="M55" i="12" s="1"/>
  <c r="AR48" i="6"/>
  <c r="AV62" i="6"/>
  <c r="K61" i="12" s="1"/>
  <c r="AR47" i="6"/>
  <c r="Z64" i="6"/>
  <c r="AA64" i="6" s="1"/>
  <c r="M51" i="6"/>
  <c r="AR65" i="6"/>
  <c r="AX65" i="6"/>
  <c r="AV66" i="6"/>
  <c r="K65" i="12" s="1"/>
  <c r="AR33" i="6"/>
  <c r="AR6" i="6"/>
  <c r="AX6" i="6"/>
  <c r="M5" i="12" s="1"/>
  <c r="AH42" i="6"/>
  <c r="C41" i="12" s="1"/>
  <c r="BA42" i="6"/>
  <c r="AH39" i="6"/>
  <c r="L53" i="6"/>
  <c r="AH53" i="6"/>
  <c r="BA53" i="6" s="1"/>
  <c r="AR59" i="6"/>
  <c r="AX59" i="6" s="1"/>
  <c r="L57" i="6"/>
  <c r="AH57" i="6"/>
  <c r="BA57" i="6" s="1"/>
  <c r="Z15" i="6"/>
  <c r="AA15" i="6" s="1"/>
  <c r="AV57" i="6"/>
  <c r="K56" i="12" s="1"/>
  <c r="K57" i="12"/>
  <c r="L45" i="6"/>
  <c r="AH45" i="6"/>
  <c r="BA45" i="6"/>
  <c r="M44" i="6"/>
  <c r="AR21" i="6"/>
  <c r="AX21" i="6" s="1"/>
  <c r="M20" i="12" s="1"/>
  <c r="M63" i="6"/>
  <c r="Z10" i="6"/>
  <c r="AA10" i="6"/>
  <c r="M57" i="6"/>
  <c r="AH35" i="6"/>
  <c r="BA35" i="6" s="1"/>
  <c r="AR61" i="6"/>
  <c r="AX61" i="6" s="1"/>
  <c r="AR53" i="6"/>
  <c r="AH8" i="6"/>
  <c r="C7" i="12" s="1"/>
  <c r="AI7" i="12" s="1"/>
  <c r="M62" i="6"/>
  <c r="AR25" i="6"/>
  <c r="AX25" i="6"/>
  <c r="M24" i="12" s="1"/>
  <c r="M56" i="6"/>
  <c r="L61" i="6"/>
  <c r="AH61" i="6"/>
  <c r="AV56" i="6"/>
  <c r="K55" i="12"/>
  <c r="AV55" i="6"/>
  <c r="K54" i="12" s="1"/>
  <c r="AV60" i="6"/>
  <c r="K59" i="12"/>
  <c r="Z48" i="6"/>
  <c r="AA48" i="6" s="1"/>
  <c r="Z52" i="6"/>
  <c r="AA52" i="6" s="1"/>
  <c r="Z62" i="6"/>
  <c r="AA62" i="6"/>
  <c r="AR43" i="6"/>
  <c r="AR38" i="6"/>
  <c r="AR27" i="6"/>
  <c r="AX27" i="6"/>
  <c r="M26" i="12" s="1"/>
  <c r="AR24" i="6"/>
  <c r="AX24" i="6" s="1"/>
  <c r="M23" i="12" s="1"/>
  <c r="L49" i="6"/>
  <c r="AH49" i="6" s="1"/>
  <c r="BA49" i="6"/>
  <c r="AH16" i="6"/>
  <c r="BA16" i="6" s="1"/>
  <c r="Z9" i="6"/>
  <c r="AA9" i="6" s="1"/>
  <c r="AN9" i="6" s="1"/>
  <c r="AG25" i="6"/>
  <c r="AZ25" i="6"/>
  <c r="AC25" i="6"/>
  <c r="B25" i="17" s="1"/>
  <c r="N59" i="6"/>
  <c r="N66" i="6"/>
  <c r="N50" i="6"/>
  <c r="L62" i="6"/>
  <c r="AH62" i="6" s="1"/>
  <c r="BA62" i="6" s="1"/>
  <c r="AD62" i="6"/>
  <c r="L46" i="6"/>
  <c r="AH46" i="6" s="1"/>
  <c r="BA46" i="6" s="1"/>
  <c r="AR26" i="6"/>
  <c r="AX26" i="6" s="1"/>
  <c r="M25" i="12" s="1"/>
  <c r="AR18" i="6"/>
  <c r="AX18" i="6"/>
  <c r="M17" i="12"/>
  <c r="M60" i="6"/>
  <c r="M55" i="6"/>
  <c r="M49" i="6"/>
  <c r="AH26" i="6"/>
  <c r="BA26" i="6" s="1"/>
  <c r="C25" i="12"/>
  <c r="AH19" i="6"/>
  <c r="AH11" i="6"/>
  <c r="BA11" i="6"/>
  <c r="K64" i="6"/>
  <c r="AG64" i="6"/>
  <c r="AZ64" i="6"/>
  <c r="K56" i="6"/>
  <c r="AG56" i="6"/>
  <c r="AZ56" i="6"/>
  <c r="AG31" i="6"/>
  <c r="M66" i="6"/>
  <c r="M48" i="6"/>
  <c r="L63" i="6"/>
  <c r="AH63" i="6" s="1"/>
  <c r="AJ63" i="6" s="1"/>
  <c r="BA63" i="6"/>
  <c r="L59" i="6"/>
  <c r="AH59" i="6" s="1"/>
  <c r="L55" i="6"/>
  <c r="AH55" i="6" s="1"/>
  <c r="BA55" i="6"/>
  <c r="L51" i="6"/>
  <c r="AH51" i="6" s="1"/>
  <c r="L47" i="6"/>
  <c r="AH47" i="6"/>
  <c r="BA47" i="6"/>
  <c r="AH40" i="6"/>
  <c r="BA40" i="6"/>
  <c r="C39" i="12"/>
  <c r="AH32" i="6"/>
  <c r="BA32" i="6"/>
  <c r="AH20" i="6"/>
  <c r="K59" i="6"/>
  <c r="AG59" i="6"/>
  <c r="B58" i="12" s="1"/>
  <c r="K44" i="6"/>
  <c r="AG44" i="6"/>
  <c r="AZ44" i="6" s="1"/>
  <c r="AR35" i="6"/>
  <c r="M61" i="6"/>
  <c r="L58" i="6"/>
  <c r="AH58" i="6"/>
  <c r="BA58" i="6" s="1"/>
  <c r="L50" i="6"/>
  <c r="AH50" i="6" s="1"/>
  <c r="BA50" i="6"/>
  <c r="Z11" i="6"/>
  <c r="M65" i="6"/>
  <c r="M54" i="6"/>
  <c r="AH28" i="6"/>
  <c r="AK28" i="6" s="1"/>
  <c r="BD28" i="6" s="1"/>
  <c r="M64" i="6"/>
  <c r="M53" i="6"/>
  <c r="M47" i="6"/>
  <c r="AH65" i="6"/>
  <c r="BA65" i="6"/>
  <c r="L64" i="6"/>
  <c r="AH64" i="6"/>
  <c r="L60" i="6"/>
  <c r="AH60" i="6" s="1"/>
  <c r="L56" i="6"/>
  <c r="AH56" i="6"/>
  <c r="AD56" i="6" s="1"/>
  <c r="L52" i="6"/>
  <c r="AH52" i="6"/>
  <c r="BA52" i="6"/>
  <c r="L48" i="6"/>
  <c r="AH48" i="6"/>
  <c r="C47" i="12" s="1"/>
  <c r="I20" i="18" s="1"/>
  <c r="BA48" i="6"/>
  <c r="L44" i="6"/>
  <c r="AH44" i="6" s="1"/>
  <c r="AH41" i="6"/>
  <c r="BA41" i="6"/>
  <c r="K61" i="6"/>
  <c r="AG61" i="6" s="1"/>
  <c r="AZ61" i="6" s="1"/>
  <c r="AG36" i="6"/>
  <c r="B35" i="12" s="1"/>
  <c r="AG16" i="6"/>
  <c r="AZ16" i="6"/>
  <c r="AG14" i="6"/>
  <c r="AZ14" i="6" s="1"/>
  <c r="AG9" i="6"/>
  <c r="AR32" i="6"/>
  <c r="AR34" i="6"/>
  <c r="M14" i="12"/>
  <c r="M50" i="6"/>
  <c r="L54" i="6"/>
  <c r="AH54" i="6"/>
  <c r="BA54" i="6"/>
  <c r="AH36" i="6"/>
  <c r="AG17" i="6"/>
  <c r="AK17" i="6" s="1"/>
  <c r="AN17" i="6" s="1"/>
  <c r="M59" i="6"/>
  <c r="K49" i="6"/>
  <c r="AG49" i="6"/>
  <c r="M58" i="6"/>
  <c r="M52" i="6"/>
  <c r="M46" i="6"/>
  <c r="L66" i="6"/>
  <c r="AH66" i="6"/>
  <c r="BA66" i="6"/>
  <c r="AH38" i="6"/>
  <c r="AH34" i="6"/>
  <c r="BA34" i="6" s="1"/>
  <c r="AH14" i="6"/>
  <c r="K45" i="6"/>
  <c r="AG45" i="6" s="1"/>
  <c r="AC45" i="6" s="1"/>
  <c r="AG30" i="6"/>
  <c r="Z7" i="6"/>
  <c r="N51" i="6"/>
  <c r="N48" i="6"/>
  <c r="N45" i="6"/>
  <c r="N49" i="6"/>
  <c r="K47" i="6"/>
  <c r="AG47" i="6" s="1"/>
  <c r="AG8" i="6"/>
  <c r="AC8" i="6" s="1"/>
  <c r="B8" i="17" s="1"/>
  <c r="AG39" i="6"/>
  <c r="AM39" i="6" s="1"/>
  <c r="AG43" i="6"/>
  <c r="B42" i="12" s="1"/>
  <c r="K53" i="6"/>
  <c r="AG53" i="6"/>
  <c r="AZ53" i="6"/>
  <c r="K58" i="6"/>
  <c r="K66" i="6"/>
  <c r="AG66" i="6" s="1"/>
  <c r="AG38" i="6"/>
  <c r="AZ38" i="6" s="1"/>
  <c r="K52" i="6"/>
  <c r="AG52" i="6" s="1"/>
  <c r="K65" i="6"/>
  <c r="AG65" i="6"/>
  <c r="AZ65" i="6"/>
  <c r="AG7" i="6"/>
  <c r="AZ7" i="6"/>
  <c r="K50" i="6"/>
  <c r="AG50" i="6"/>
  <c r="AZ50" i="6" s="1"/>
  <c r="K55" i="6"/>
  <c r="K63" i="6"/>
  <c r="AG63" i="6"/>
  <c r="AZ63" i="6" s="1"/>
  <c r="AG6" i="6"/>
  <c r="AZ6" i="6"/>
  <c r="AH13" i="6"/>
  <c r="AH21" i="6"/>
  <c r="BA21" i="6"/>
  <c r="AH29" i="6"/>
  <c r="BA29" i="6"/>
  <c r="AH18" i="6"/>
  <c r="AJ18" i="6" s="1"/>
  <c r="AH22" i="6"/>
  <c r="BA22" i="6" s="1"/>
  <c r="AH12" i="6"/>
  <c r="BA12" i="6" s="1"/>
  <c r="AH24" i="6"/>
  <c r="BA24" i="6"/>
  <c r="BA33" i="6"/>
  <c r="AH6" i="6"/>
  <c r="C5" i="12" s="1"/>
  <c r="AI5" i="12" s="1"/>
  <c r="AG21" i="6"/>
  <c r="AG29" i="6"/>
  <c r="AZ29" i="6"/>
  <c r="AG12" i="6"/>
  <c r="AG20" i="6"/>
  <c r="AZ20" i="6"/>
  <c r="AG28" i="6"/>
  <c r="AG34" i="6"/>
  <c r="AG32" i="6"/>
  <c r="AK32" i="6" s="1"/>
  <c r="E50" i="5"/>
  <c r="Z63" i="6"/>
  <c r="AA63" i="6"/>
  <c r="Z44" i="6"/>
  <c r="AA44" i="6"/>
  <c r="G41" i="5"/>
  <c r="D40" i="5"/>
  <c r="E40" i="5" s="1"/>
  <c r="Z56" i="6"/>
  <c r="AA56" i="6"/>
  <c r="C39" i="5"/>
  <c r="Z39" i="6"/>
  <c r="Z40" i="6"/>
  <c r="D19" i="5"/>
  <c r="D20" i="5"/>
  <c r="D21" i="5"/>
  <c r="D22" i="5" s="1"/>
  <c r="E18" i="5"/>
  <c r="V7" i="8"/>
  <c r="V8" i="8"/>
  <c r="W6" i="8"/>
  <c r="AD39" i="6"/>
  <c r="C39" i="17"/>
  <c r="M11" i="18"/>
  <c r="B24" i="12"/>
  <c r="AD17" i="6"/>
  <c r="AD28" i="6"/>
  <c r="C28" i="17" s="1"/>
  <c r="C64" i="12"/>
  <c r="AI64" i="12" s="1"/>
  <c r="B48" i="12"/>
  <c r="AC49" i="6"/>
  <c r="B49" i="17" s="1"/>
  <c r="AD41" i="6"/>
  <c r="C41" i="17" s="1"/>
  <c r="M13" i="18" s="1"/>
  <c r="AD36" i="6"/>
  <c r="C31" i="12"/>
  <c r="AD32" i="6"/>
  <c r="C32" i="17"/>
  <c r="M4" i="18"/>
  <c r="C8" i="12"/>
  <c r="AI8" i="12" s="1"/>
  <c r="AD38" i="6"/>
  <c r="C38" i="17"/>
  <c r="M10" i="18" s="1"/>
  <c r="B28" i="12"/>
  <c r="AD12" i="6"/>
  <c r="C12" i="17" s="1"/>
  <c r="B33" i="12"/>
  <c r="AC34" i="6"/>
  <c r="B34" i="17"/>
  <c r="AM34" i="6"/>
  <c r="BF34" i="6" s="1"/>
  <c r="AC6" i="6"/>
  <c r="B6" i="17" s="1"/>
  <c r="C29" i="12"/>
  <c r="AD30" i="6"/>
  <c r="C30" i="17"/>
  <c r="B27" i="12"/>
  <c r="AC28" i="6"/>
  <c r="B28" i="17"/>
  <c r="C9" i="12"/>
  <c r="AI9" i="12" s="1"/>
  <c r="AJ10" i="6"/>
  <c r="AC32" i="6"/>
  <c r="B32" i="17"/>
  <c r="AD29" i="6"/>
  <c r="G36" i="5"/>
  <c r="D36" i="5" s="1"/>
  <c r="G37" i="5"/>
  <c r="D37" i="5" s="1"/>
  <c r="E37" i="5" s="1"/>
  <c r="E19" i="5"/>
  <c r="F27" i="12"/>
  <c r="AO28" i="6"/>
  <c r="AE28" i="6"/>
  <c r="N27" i="20" s="1"/>
  <c r="E36" i="5"/>
  <c r="E20" i="5"/>
  <c r="AC41" i="6"/>
  <c r="B41" i="17" s="1"/>
  <c r="AZ41" i="6"/>
  <c r="AM41" i="6"/>
  <c r="B40" i="12"/>
  <c r="AZ43" i="6"/>
  <c r="AC43" i="6"/>
  <c r="B43" i="17" s="1"/>
  <c r="AJ39" i="6"/>
  <c r="AA39" i="6"/>
  <c r="AC59" i="6"/>
  <c r="B59" i="17"/>
  <c r="AZ59" i="6"/>
  <c r="BA6" i="6"/>
  <c r="AD6" i="6"/>
  <c r="C6" i="17" s="1"/>
  <c r="BA13" i="6"/>
  <c r="C12" i="12"/>
  <c r="AZ9" i="6"/>
  <c r="B8" i="12"/>
  <c r="AK9" i="6"/>
  <c r="D28" i="17"/>
  <c r="AZ34" i="6"/>
  <c r="C35" i="12"/>
  <c r="I8" i="18" s="1"/>
  <c r="BA36" i="6"/>
  <c r="Z66" i="6"/>
  <c r="AA66" i="6" s="1"/>
  <c r="P29" i="18"/>
  <c r="U29" i="18"/>
  <c r="S56" i="12"/>
  <c r="AF56" i="12" s="1"/>
  <c r="P25" i="18"/>
  <c r="S52" i="12"/>
  <c r="AF52" i="12" s="1"/>
  <c r="S46" i="12"/>
  <c r="AF46" i="12" s="1"/>
  <c r="P20" i="18"/>
  <c r="S47" i="12"/>
  <c r="AF47" i="12" s="1"/>
  <c r="AK14" i="6"/>
  <c r="BD14" i="6" s="1"/>
  <c r="C45" i="12"/>
  <c r="AD26" i="6"/>
  <c r="C26" i="17"/>
  <c r="B31" i="12"/>
  <c r="C21" i="12"/>
  <c r="AI21" i="12" s="1"/>
  <c r="AM28" i="6"/>
  <c r="AZ28" i="6"/>
  <c r="AZ30" i="6"/>
  <c r="B29" i="12"/>
  <c r="AZ36" i="6"/>
  <c r="BA28" i="6"/>
  <c r="C34" i="12"/>
  <c r="C5" i="5"/>
  <c r="Z6" i="6"/>
  <c r="AA6" i="6" s="1"/>
  <c r="P4" i="18"/>
  <c r="S31" i="12"/>
  <c r="AF31" i="12" s="1"/>
  <c r="U20" i="18"/>
  <c r="P9" i="18"/>
  <c r="U9" i="18" s="1"/>
  <c r="AF36" i="12"/>
  <c r="BD32" i="6"/>
  <c r="AM6" i="6"/>
  <c r="P24" i="18"/>
  <c r="S51" i="12"/>
  <c r="AF51" i="12" s="1"/>
  <c r="J27" i="12"/>
  <c r="BH28" i="6"/>
  <c r="BA38" i="6"/>
  <c r="C37" i="12"/>
  <c r="I10" i="18"/>
  <c r="AC65" i="6"/>
  <c r="B65" i="17" s="1"/>
  <c r="AM20" i="6"/>
  <c r="AD49" i="6"/>
  <c r="Z50" i="6"/>
  <c r="AA50" i="6"/>
  <c r="AR23" i="6"/>
  <c r="AX23" i="6" s="1"/>
  <c r="M22" i="12" s="1"/>
  <c r="C53" i="5"/>
  <c r="Z61" i="6"/>
  <c r="AA61" i="6" s="1"/>
  <c r="AA40" i="6"/>
  <c r="O14" i="18"/>
  <c r="U14" i="18" s="1"/>
  <c r="S41" i="12"/>
  <c r="AF41" i="12" s="1"/>
  <c r="O30" i="18"/>
  <c r="S57" i="12"/>
  <c r="AF57" i="12" s="1"/>
  <c r="S12" i="12"/>
  <c r="AF12" i="12" s="1"/>
  <c r="S20" i="12"/>
  <c r="AF20" i="12" s="1"/>
  <c r="AD16" i="6"/>
  <c r="U15" i="18"/>
  <c r="S42" i="12"/>
  <c r="AF42" i="12"/>
  <c r="AC36" i="6"/>
  <c r="B36" i="17" s="1"/>
  <c r="Z46" i="6"/>
  <c r="AC39" i="6"/>
  <c r="B39" i="17"/>
  <c r="AZ39" i="6"/>
  <c r="B30" i="12"/>
  <c r="AZ31" i="6"/>
  <c r="F35" i="5"/>
  <c r="B34" i="5"/>
  <c r="C34" i="5"/>
  <c r="AC20" i="6"/>
  <c r="B20" i="17"/>
  <c r="B38" i="12"/>
  <c r="AD53" i="6"/>
  <c r="BA64" i="6"/>
  <c r="C63" i="12"/>
  <c r="AA58" i="6"/>
  <c r="AR36" i="6"/>
  <c r="P16" i="18"/>
  <c r="S43" i="12"/>
  <c r="AF43" i="12"/>
  <c r="AX19" i="6"/>
  <c r="M18" i="12" s="1"/>
  <c r="AF28" i="6"/>
  <c r="E28" i="17" s="1"/>
  <c r="B19" i="12"/>
  <c r="B49" i="12"/>
  <c r="C11" i="12"/>
  <c r="AI11" i="12" s="1"/>
  <c r="AK36" i="6"/>
  <c r="AE36" i="6" s="1"/>
  <c r="AF36" i="6" s="1"/>
  <c r="BD36" i="6"/>
  <c r="B18" i="5"/>
  <c r="AD8" i="6"/>
  <c r="BA8" i="6"/>
  <c r="AK39" i="6"/>
  <c r="BD39" i="6"/>
  <c r="BA39" i="6"/>
  <c r="C12" i="5"/>
  <c r="K54" i="6"/>
  <c r="AG54" i="6" s="1"/>
  <c r="AK54" i="6" s="1"/>
  <c r="K48" i="6"/>
  <c r="AG48" i="6"/>
  <c r="AZ48" i="6" s="1"/>
  <c r="K60" i="6"/>
  <c r="AG60" i="6" s="1"/>
  <c r="AG22" i="6"/>
  <c r="AC22" i="6" s="1"/>
  <c r="B22" i="17" s="1"/>
  <c r="AM22" i="6"/>
  <c r="AG19" i="6"/>
  <c r="K46" i="6"/>
  <c r="AG46" i="6"/>
  <c r="AZ46" i="6"/>
  <c r="K57" i="6"/>
  <c r="AG57" i="6" s="1"/>
  <c r="AG55" i="6"/>
  <c r="AG13" i="6"/>
  <c r="AK13" i="6" s="1"/>
  <c r="AG42" i="6"/>
  <c r="AZ42" i="6" s="1"/>
  <c r="K62" i="6"/>
  <c r="AG62" i="6"/>
  <c r="AC62" i="6" s="1"/>
  <c r="B62" i="17" s="1"/>
  <c r="K51" i="6"/>
  <c r="AG51" i="6"/>
  <c r="AK51" i="6" s="1"/>
  <c r="AG24" i="6"/>
  <c r="AG58" i="6"/>
  <c r="AK58" i="6" s="1"/>
  <c r="BD58" i="6" s="1"/>
  <c r="AG11" i="6"/>
  <c r="AK11" i="6" s="1"/>
  <c r="BD11" i="6" s="1"/>
  <c r="AG35" i="6"/>
  <c r="AZ35" i="6"/>
  <c r="U16" i="18"/>
  <c r="AR42" i="6"/>
  <c r="AR66" i="6"/>
  <c r="AX66" i="6" s="1"/>
  <c r="M65" i="12" s="1"/>
  <c r="U31" i="18"/>
  <c r="S53" i="12"/>
  <c r="AF53" i="12" s="1"/>
  <c r="Z65" i="6"/>
  <c r="AA65" i="6" s="1"/>
  <c r="AN65" i="6" s="1"/>
  <c r="AR58" i="6"/>
  <c r="AX58" i="6" s="1"/>
  <c r="M57" i="12" s="1"/>
  <c r="AR57" i="6"/>
  <c r="AX57" i="6"/>
  <c r="AR49" i="6"/>
  <c r="AR63" i="6"/>
  <c r="AX63" i="6"/>
  <c r="AC66" i="6"/>
  <c r="B66" i="17" s="1"/>
  <c r="AM59" i="6"/>
  <c r="AM55" i="6"/>
  <c r="AC50" i="6"/>
  <c r="B50" i="17" s="1"/>
  <c r="AG40" i="6"/>
  <c r="AZ40" i="6" s="1"/>
  <c r="AM32" i="6"/>
  <c r="AC29" i="6"/>
  <c r="B29" i="17"/>
  <c r="AG26" i="6"/>
  <c r="AZ26" i="6" s="1"/>
  <c r="AG18" i="6"/>
  <c r="AM16" i="6"/>
  <c r="AG10" i="6"/>
  <c r="AZ10" i="6" s="1"/>
  <c r="F43" i="7"/>
  <c r="B35" i="7" s="1"/>
  <c r="AE39" i="6"/>
  <c r="D39" i="17" s="1"/>
  <c r="Z35" i="6"/>
  <c r="AG37" i="6"/>
  <c r="AM37" i="6" s="1"/>
  <c r="BF37" i="6" s="1"/>
  <c r="AZ37" i="6"/>
  <c r="AG23" i="6"/>
  <c r="AG15" i="6"/>
  <c r="AR41" i="6"/>
  <c r="AD42" i="6"/>
  <c r="C42" i="17" s="1"/>
  <c r="M14" i="18"/>
  <c r="AD34" i="6"/>
  <c r="AD9" i="6"/>
  <c r="C9" i="17" s="1"/>
  <c r="AD19" i="6"/>
  <c r="C19" i="17" s="1"/>
  <c r="BA19" i="6"/>
  <c r="Z17" i="6"/>
  <c r="AJ17" i="6" s="1"/>
  <c r="AA17" i="6"/>
  <c r="S37" i="12"/>
  <c r="AF37" i="12" s="1"/>
  <c r="G64" i="17"/>
  <c r="G65" i="17" s="1"/>
  <c r="G66" i="17" s="1"/>
  <c r="Z45" i="6"/>
  <c r="Z49" i="6"/>
  <c r="AJ49" i="6" s="1"/>
  <c r="AA49" i="6"/>
  <c r="M60" i="12"/>
  <c r="L33" i="18" s="1"/>
  <c r="M63" i="12"/>
  <c r="C62" i="17"/>
  <c r="M54" i="12"/>
  <c r="L27" i="18" s="1"/>
  <c r="C17" i="17"/>
  <c r="AD33" i="6"/>
  <c r="C32" i="12"/>
  <c r="I5" i="18" s="1"/>
  <c r="C20" i="12"/>
  <c r="AD21" i="6"/>
  <c r="C53" i="12"/>
  <c r="AI53" i="12" s="1"/>
  <c r="AD54" i="6"/>
  <c r="AC61" i="6"/>
  <c r="B61" i="17" s="1"/>
  <c r="AM61" i="6"/>
  <c r="BF61" i="6" s="1"/>
  <c r="B60" i="12"/>
  <c r="C16" i="17"/>
  <c r="AJ62" i="6"/>
  <c r="AI62" i="6" s="1"/>
  <c r="D61" i="12" s="1"/>
  <c r="AK62" i="6"/>
  <c r="BD62" i="6"/>
  <c r="C61" i="12"/>
  <c r="AI61" i="12" s="1"/>
  <c r="AM63" i="6"/>
  <c r="BF63" i="6"/>
  <c r="B45" i="17"/>
  <c r="C65" i="12"/>
  <c r="AI65" i="12" s="1"/>
  <c r="AI66" i="6"/>
  <c r="D65" i="12" s="1"/>
  <c r="AJ66" i="6"/>
  <c r="C10" i="12"/>
  <c r="AD11" i="6"/>
  <c r="AF11" i="6" s="1"/>
  <c r="R10" i="12" s="1"/>
  <c r="C24" i="12"/>
  <c r="AI24" i="12" s="1"/>
  <c r="AK25" i="6"/>
  <c r="BD25" i="6" s="1"/>
  <c r="K33" i="18"/>
  <c r="C29" i="17"/>
  <c r="AD24" i="6"/>
  <c r="C23" i="12"/>
  <c r="AD13" i="6"/>
  <c r="C49" i="12"/>
  <c r="I22" i="18" s="1"/>
  <c r="AK50" i="6"/>
  <c r="BD50" i="6" s="1"/>
  <c r="C54" i="12"/>
  <c r="AD55" i="6"/>
  <c r="M56" i="12"/>
  <c r="V9" i="8"/>
  <c r="AC12" i="6"/>
  <c r="B12" i="17" s="1"/>
  <c r="AK12" i="6"/>
  <c r="BD12" i="6"/>
  <c r="B11" i="12"/>
  <c r="AC31" i="6"/>
  <c r="B31" i="17"/>
  <c r="AM31" i="6"/>
  <c r="C18" i="12"/>
  <c r="M59" i="12"/>
  <c r="B34" i="7"/>
  <c r="B39" i="7"/>
  <c r="B37" i="7"/>
  <c r="B38" i="7"/>
  <c r="B36" i="7"/>
  <c r="AO39" i="6" s="1"/>
  <c r="C42" i="12"/>
  <c r="AD43" i="6"/>
  <c r="AK43" i="6"/>
  <c r="AE32" i="6"/>
  <c r="N31" i="20" s="1"/>
  <c r="AD31" i="6"/>
  <c r="C26" i="12"/>
  <c r="AD27" i="6"/>
  <c r="C22" i="12"/>
  <c r="AD23" i="6"/>
  <c r="AA16" i="6"/>
  <c r="Z16" i="6"/>
  <c r="AD15" i="6"/>
  <c r="C14" i="12"/>
  <c r="AI14" i="12" s="1"/>
  <c r="Z12" i="6"/>
  <c r="AJ12" i="6"/>
  <c r="BC12" i="6" s="1"/>
  <c r="AA12" i="6"/>
  <c r="AE9" i="6"/>
  <c r="N8" i="20"/>
  <c r="Q8" i="20" s="1"/>
  <c r="Z8" i="6"/>
  <c r="AJ8" i="6"/>
  <c r="BC8" i="6"/>
  <c r="C6" i="12"/>
  <c r="AD7" i="6"/>
  <c r="B39" i="12"/>
  <c r="AK40" i="6"/>
  <c r="BD40" i="6" s="1"/>
  <c r="AC35" i="6"/>
  <c r="B35" i="17" s="1"/>
  <c r="B25" i="12"/>
  <c r="F31" i="12"/>
  <c r="AJ31" i="12" s="1"/>
  <c r="AO32" i="6"/>
  <c r="J31" i="12" s="1"/>
  <c r="B34" i="12"/>
  <c r="AK35" i="6"/>
  <c r="BD35" i="6"/>
  <c r="AD37" i="6"/>
  <c r="C36" i="12"/>
  <c r="I9" i="18" s="1"/>
  <c r="C56" i="17"/>
  <c r="M28" i="18"/>
  <c r="C57" i="12"/>
  <c r="I30" i="18" s="1"/>
  <c r="B43" i="12"/>
  <c r="AM44" i="6"/>
  <c r="BF44" i="6" s="1"/>
  <c r="AC44" i="6"/>
  <c r="B44" i="17"/>
  <c r="AC56" i="6"/>
  <c r="B56" i="17" s="1"/>
  <c r="B55" i="12"/>
  <c r="AM56" i="6"/>
  <c r="BF56" i="6"/>
  <c r="C36" i="17"/>
  <c r="M8" i="18"/>
  <c r="C56" i="12"/>
  <c r="I29" i="18" s="1"/>
  <c r="Q29" i="18" s="1"/>
  <c r="AD57" i="6"/>
  <c r="AR7" i="6"/>
  <c r="AX7" i="6" s="1"/>
  <c r="M6" i="12" s="1"/>
  <c r="I4" i="18"/>
  <c r="Q4" i="18" s="1"/>
  <c r="AI31" i="12"/>
  <c r="D41" i="5"/>
  <c r="E41" i="5" s="1"/>
  <c r="G42" i="5"/>
  <c r="D42" i="5"/>
  <c r="E42" i="5"/>
  <c r="B10" i="12"/>
  <c r="AC11" i="6"/>
  <c r="B11" i="17" s="1"/>
  <c r="AK24" i="6"/>
  <c r="BD24" i="6"/>
  <c r="B23" i="12"/>
  <c r="C55" i="12"/>
  <c r="I28" i="18" s="1"/>
  <c r="AJ56" i="6"/>
  <c r="BC56" i="6"/>
  <c r="C38" i="12"/>
  <c r="I11" i="18" s="1"/>
  <c r="Q11" i="18" s="1"/>
  <c r="AD66" i="6"/>
  <c r="AD50" i="6"/>
  <c r="C34" i="17"/>
  <c r="M6" i="18"/>
  <c r="AD25" i="6"/>
  <c r="N46" i="6"/>
  <c r="N55" i="6"/>
  <c r="N63" i="6"/>
  <c r="N52" i="6"/>
  <c r="N61" i="6"/>
  <c r="N47" i="6"/>
  <c r="N56" i="6"/>
  <c r="N65" i="6"/>
  <c r="N44" i="6"/>
  <c r="N60" i="6"/>
  <c r="N58" i="6"/>
  <c r="N64" i="6"/>
  <c r="N53" i="6"/>
  <c r="N57" i="6"/>
  <c r="N54" i="6"/>
  <c r="N62" i="6"/>
  <c r="AC58" i="6"/>
  <c r="B58" i="17" s="1"/>
  <c r="AM58" i="6"/>
  <c r="BF58" i="6"/>
  <c r="AM50" i="6"/>
  <c r="H49" i="12" s="1"/>
  <c r="BF50" i="6"/>
  <c r="AM46" i="6"/>
  <c r="BF46" i="6"/>
  <c r="AC46" i="6"/>
  <c r="B46" i="17" s="1"/>
  <c r="AM43" i="6"/>
  <c r="BF43" i="6"/>
  <c r="AC40" i="6"/>
  <c r="B40" i="17" s="1"/>
  <c r="B36" i="12"/>
  <c r="AK37" i="6"/>
  <c r="BD37" i="6" s="1"/>
  <c r="AC37" i="6"/>
  <c r="B37" i="17" s="1"/>
  <c r="AM35" i="6"/>
  <c r="BF35" i="6"/>
  <c r="AM29" i="6"/>
  <c r="AC26" i="6"/>
  <c r="B26" i="17"/>
  <c r="AM26" i="6"/>
  <c r="B22" i="12"/>
  <c r="AK23" i="6"/>
  <c r="BD23" i="6" s="1"/>
  <c r="AM18" i="6"/>
  <c r="AK15" i="6"/>
  <c r="F14" i="12" s="1"/>
  <c r="B14" i="12"/>
  <c r="C49" i="17"/>
  <c r="M21" i="18" s="1"/>
  <c r="B19" i="5"/>
  <c r="Z19" i="6"/>
  <c r="AA19" i="6" s="1"/>
  <c r="C18" i="5"/>
  <c r="AK7" i="6"/>
  <c r="BD7" i="6"/>
  <c r="AM7" i="6"/>
  <c r="B6" i="12"/>
  <c r="AC7" i="6"/>
  <c r="B7" i="17"/>
  <c r="C48" i="12"/>
  <c r="I21" i="18" s="1"/>
  <c r="Q21" i="18" s="1"/>
  <c r="AK49" i="6"/>
  <c r="F48" i="12" s="1"/>
  <c r="F38" i="12"/>
  <c r="C17" i="5"/>
  <c r="C44" i="5"/>
  <c r="B33" i="8"/>
  <c r="H33" i="12"/>
  <c r="C53" i="17"/>
  <c r="M25" i="18" s="1"/>
  <c r="AK65" i="6"/>
  <c r="BD65" i="6"/>
  <c r="B64" i="12"/>
  <c r="AM65" i="6"/>
  <c r="BF65" i="6" s="1"/>
  <c r="B52" i="12"/>
  <c r="AK53" i="6"/>
  <c r="AC53" i="6"/>
  <c r="B53" i="17"/>
  <c r="AM53" i="6"/>
  <c r="BF53" i="6" s="1"/>
  <c r="B13" i="12"/>
  <c r="AC14" i="6"/>
  <c r="B14" i="17"/>
  <c r="AM14" i="6"/>
  <c r="AK41" i="6"/>
  <c r="BD41" i="6"/>
  <c r="C40" i="12"/>
  <c r="AI40" i="12" s="1"/>
  <c r="AD45" i="6"/>
  <c r="C44" i="12"/>
  <c r="I14" i="18"/>
  <c r="AI41" i="12"/>
  <c r="L28" i="18"/>
  <c r="E59" i="5"/>
  <c r="Z60" i="6"/>
  <c r="C10" i="17"/>
  <c r="F35" i="12"/>
  <c r="AJ35" i="12" s="1"/>
  <c r="AO36" i="6"/>
  <c r="J35" i="12" s="1"/>
  <c r="AK29" i="6"/>
  <c r="BD29" i="6" s="1"/>
  <c r="C28" i="12"/>
  <c r="AI28" i="12" s="1"/>
  <c r="AK55" i="6"/>
  <c r="BD55" i="6"/>
  <c r="AC57" i="6"/>
  <c r="B57" i="17" s="1"/>
  <c r="AM57" i="6"/>
  <c r="H56" i="12" s="1"/>
  <c r="AK57" i="6"/>
  <c r="BD57" i="6" s="1"/>
  <c r="AK46" i="6"/>
  <c r="BD46" i="6"/>
  <c r="B45" i="12"/>
  <c r="AD46" i="6"/>
  <c r="AJ46" i="6"/>
  <c r="BC46" i="6"/>
  <c r="C52" i="12"/>
  <c r="I25" i="18" s="1"/>
  <c r="AJ53" i="6"/>
  <c r="AI53" i="6"/>
  <c r="R27" i="12"/>
  <c r="AD40" i="6"/>
  <c r="AJ40" i="6"/>
  <c r="E39" i="12" s="1"/>
  <c r="BC40" i="6"/>
  <c r="C62" i="12"/>
  <c r="AI62" i="12" s="1"/>
  <c r="AD63" i="6"/>
  <c r="AC60" i="6"/>
  <c r="B60" i="17" s="1"/>
  <c r="AK60" i="6"/>
  <c r="BD60" i="6" s="1"/>
  <c r="AM60" i="6"/>
  <c r="BF60" i="6" s="1"/>
  <c r="C48" i="5"/>
  <c r="AC47" i="6"/>
  <c r="B47" i="17" s="1"/>
  <c r="B15" i="12"/>
  <c r="AC16" i="6"/>
  <c r="B16" i="17"/>
  <c r="AK16" i="6"/>
  <c r="BD16" i="6" s="1"/>
  <c r="AD48" i="6"/>
  <c r="C48" i="17" s="1"/>
  <c r="M20" i="18" s="1"/>
  <c r="AJ48" i="6"/>
  <c r="BC48" i="6"/>
  <c r="AD47" i="6"/>
  <c r="C46" i="12"/>
  <c r="I19" i="18" s="1"/>
  <c r="AJ9" i="6"/>
  <c r="E8" i="12" s="1"/>
  <c r="I7" i="18"/>
  <c r="AI34" i="12"/>
  <c r="M64" i="12"/>
  <c r="AC42" i="6"/>
  <c r="B42" i="17"/>
  <c r="B37" i="12"/>
  <c r="AK38" i="6"/>
  <c r="BD38" i="6"/>
  <c r="AC38" i="6"/>
  <c r="B38" i="17" s="1"/>
  <c r="AI35" i="12"/>
  <c r="AJ52" i="6"/>
  <c r="AD52" i="6"/>
  <c r="C51" i="12"/>
  <c r="AD65" i="6"/>
  <c r="AJ65" i="6"/>
  <c r="BC65" i="6" s="1"/>
  <c r="F41" i="5"/>
  <c r="B40" i="5"/>
  <c r="Z41" i="6" s="1"/>
  <c r="B5" i="12"/>
  <c r="AK6" i="6"/>
  <c r="BD6" i="6" s="1"/>
  <c r="AC30" i="6"/>
  <c r="B30" i="17"/>
  <c r="AM30" i="6"/>
  <c r="AK30" i="6"/>
  <c r="BD30" i="6"/>
  <c r="AM51" i="6"/>
  <c r="BF51" i="6" s="1"/>
  <c r="BD51" i="6"/>
  <c r="B63" i="12"/>
  <c r="AC64" i="6"/>
  <c r="B64" i="17" s="1"/>
  <c r="AJ61" i="6"/>
  <c r="BC61" i="6"/>
  <c r="C56" i="5"/>
  <c r="Z57" i="6"/>
  <c r="AA57" i="6" s="1"/>
  <c r="AN57" i="6" s="1"/>
  <c r="I56" i="12" s="1"/>
  <c r="E54" i="5"/>
  <c r="Z55" i="6"/>
  <c r="AA55" i="6"/>
  <c r="Z47" i="6"/>
  <c r="E46" i="5"/>
  <c r="AR52" i="6"/>
  <c r="C13" i="5"/>
  <c r="Z14" i="6"/>
  <c r="P33" i="18"/>
  <c r="U33" i="18" s="1"/>
  <c r="S60" i="12"/>
  <c r="AF60" i="12" s="1"/>
  <c r="P32" i="18"/>
  <c r="U32" i="18"/>
  <c r="S59" i="12"/>
  <c r="AF59" i="12" s="1"/>
  <c r="P18" i="18"/>
  <c r="S45" i="12"/>
  <c r="AF45" i="12" s="1"/>
  <c r="O6" i="18"/>
  <c r="U6" i="18"/>
  <c r="S33" i="12"/>
  <c r="AF33" i="12" s="1"/>
  <c r="O22" i="18"/>
  <c r="U22" i="18"/>
  <c r="S49" i="12"/>
  <c r="AF49" i="12" s="1"/>
  <c r="U30" i="18"/>
  <c r="S28" i="12"/>
  <c r="AF28" i="12" s="1"/>
  <c r="P23" i="18"/>
  <c r="U23" i="18"/>
  <c r="S50" i="12"/>
  <c r="AF50" i="12" s="1"/>
  <c r="P11" i="18"/>
  <c r="U11" i="18" s="1"/>
  <c r="S38" i="12"/>
  <c r="AF38" i="12" s="1"/>
  <c r="P12" i="18"/>
  <c r="U12" i="18" s="1"/>
  <c r="S39" i="12"/>
  <c r="AF39" i="12" s="1"/>
  <c r="U26" i="18"/>
  <c r="U24" i="18"/>
  <c r="U4" i="18"/>
  <c r="U10" i="18"/>
  <c r="U18" i="18"/>
  <c r="C33" i="18"/>
  <c r="D33" i="18" s="1"/>
  <c r="AZ13" i="6"/>
  <c r="B12" i="12"/>
  <c r="AC13" i="6"/>
  <c r="B13" i="17" s="1"/>
  <c r="BC9" i="6"/>
  <c r="AE29" i="6"/>
  <c r="D29" i="17" s="1"/>
  <c r="E65" i="12"/>
  <c r="BC66" i="6"/>
  <c r="E61" i="12"/>
  <c r="BC62" i="6"/>
  <c r="AZ23" i="6"/>
  <c r="B17" i="12"/>
  <c r="AZ18" i="6"/>
  <c r="AC18" i="6"/>
  <c r="B18" i="17" s="1"/>
  <c r="AK18" i="6"/>
  <c r="H58" i="12"/>
  <c r="BF59" i="6"/>
  <c r="B58" i="8"/>
  <c r="AZ55" i="6"/>
  <c r="B54" i="12"/>
  <c r="AC55" i="6"/>
  <c r="B55" i="17" s="1"/>
  <c r="AA13" i="6"/>
  <c r="AJ13" i="6"/>
  <c r="E12" i="12" s="1"/>
  <c r="AJ6" i="6"/>
  <c r="AJ58" i="6"/>
  <c r="I8" i="12"/>
  <c r="BG9" i="6"/>
  <c r="AJ19" i="6"/>
  <c r="E18" i="12" s="1"/>
  <c r="AC48" i="6"/>
  <c r="B48" i="17"/>
  <c r="AZ11" i="6"/>
  <c r="AM11" i="6"/>
  <c r="AZ57" i="6"/>
  <c r="B56" i="12"/>
  <c r="V56" i="12" s="1"/>
  <c r="Q27" i="20"/>
  <c r="R27" i="20"/>
  <c r="AJ45" i="6"/>
  <c r="AA45" i="6"/>
  <c r="AE50" i="6"/>
  <c r="D50" i="17"/>
  <c r="N22" i="18" s="1"/>
  <c r="AZ15" i="6"/>
  <c r="AM15" i="6"/>
  <c r="AZ54" i="6"/>
  <c r="AC54" i="6"/>
  <c r="E48" i="12"/>
  <c r="BC49" i="6"/>
  <c r="AM10" i="6"/>
  <c r="R8" i="20"/>
  <c r="AJ50" i="6"/>
  <c r="AK65" i="12"/>
  <c r="BB66" i="6"/>
  <c r="AK48" i="6"/>
  <c r="E16" i="12"/>
  <c r="BC17" i="6"/>
  <c r="AI17" i="6"/>
  <c r="AZ58" i="6"/>
  <c r="B57" i="12"/>
  <c r="BD9" i="6"/>
  <c r="F8" i="12"/>
  <c r="AJ8" i="12" s="1"/>
  <c r="AO9" i="6"/>
  <c r="AC10" i="6"/>
  <c r="B10" i="17"/>
  <c r="Q31" i="20"/>
  <c r="R31" i="20"/>
  <c r="AE62" i="6"/>
  <c r="AM48" i="6"/>
  <c r="BF48" i="6"/>
  <c r="AZ24" i="6"/>
  <c r="AC24" i="6"/>
  <c r="B24" i="17" s="1"/>
  <c r="AM24" i="6"/>
  <c r="AN39" i="6"/>
  <c r="H40" i="12"/>
  <c r="BF41" i="6"/>
  <c r="B40" i="8"/>
  <c r="D36" i="17"/>
  <c r="N8" i="18"/>
  <c r="N35" i="20"/>
  <c r="N11" i="18"/>
  <c r="N38" i="20"/>
  <c r="R38" i="20" s="1"/>
  <c r="AF39" i="6"/>
  <c r="C8" i="17"/>
  <c r="AK42" i="6"/>
  <c r="AO42" i="6" s="1"/>
  <c r="BD42" i="6"/>
  <c r="D52" i="12"/>
  <c r="BB53" i="6"/>
  <c r="AM13" i="6"/>
  <c r="AK10" i="6"/>
  <c r="AO10" i="6" s="1"/>
  <c r="J9" i="12" s="1"/>
  <c r="BD10" i="6"/>
  <c r="B47" i="12"/>
  <c r="AZ51" i="6"/>
  <c r="B50" i="12"/>
  <c r="AC51" i="6"/>
  <c r="B51" i="17"/>
  <c r="AZ22" i="6"/>
  <c r="B21" i="12"/>
  <c r="AK22" i="6"/>
  <c r="AI63" i="6"/>
  <c r="D62" i="12" s="1"/>
  <c r="BC63" i="6"/>
  <c r="E62" i="12"/>
  <c r="BD17" i="6"/>
  <c r="F16" i="12"/>
  <c r="AO17" i="6"/>
  <c r="AE17" i="6"/>
  <c r="AI39" i="6"/>
  <c r="BC39" i="6"/>
  <c r="E38" i="12"/>
  <c r="E51" i="12"/>
  <c r="F36" i="5"/>
  <c r="B35" i="5"/>
  <c r="B41" i="12"/>
  <c r="BB62" i="6"/>
  <c r="AM42" i="6"/>
  <c r="BF42" i="6" s="1"/>
  <c r="E52" i="12"/>
  <c r="BC53" i="6"/>
  <c r="AC15" i="6"/>
  <c r="B15" i="17" s="1"/>
  <c r="B9" i="12"/>
  <c r="AJ35" i="6"/>
  <c r="AA35" i="6"/>
  <c r="AN35" i="6"/>
  <c r="AZ62" i="6"/>
  <c r="AM62" i="6"/>
  <c r="B61" i="12"/>
  <c r="AE65" i="6"/>
  <c r="D65" i="17" s="1"/>
  <c r="F64" i="12"/>
  <c r="AJ64" i="12" s="1"/>
  <c r="AO65" i="6"/>
  <c r="E55" i="12"/>
  <c r="AI56" i="6"/>
  <c r="L30" i="18"/>
  <c r="B42" i="8"/>
  <c r="H42" i="12"/>
  <c r="C24" i="17"/>
  <c r="B47" i="8"/>
  <c r="H47" i="12"/>
  <c r="B52" i="8"/>
  <c r="H52" i="12"/>
  <c r="L29" i="18"/>
  <c r="AI20" i="12"/>
  <c r="AN16" i="6"/>
  <c r="AE16" i="6"/>
  <c r="N15" i="20"/>
  <c r="F15" i="12"/>
  <c r="AJ15" i="12" s="1"/>
  <c r="AO16" i="6"/>
  <c r="AN49" i="6"/>
  <c r="AE49" i="6"/>
  <c r="D49" i="17" s="1"/>
  <c r="AE24" i="6"/>
  <c r="AF24" i="6" s="1"/>
  <c r="F23" i="12"/>
  <c r="AO24" i="6"/>
  <c r="F34" i="12"/>
  <c r="J7" i="18" s="1"/>
  <c r="AE35" i="6"/>
  <c r="N34" i="20" s="1"/>
  <c r="AO35" i="6"/>
  <c r="E11" i="12"/>
  <c r="AI12" i="6"/>
  <c r="AI10" i="12"/>
  <c r="F42" i="5"/>
  <c r="B42" i="5"/>
  <c r="B41" i="5"/>
  <c r="C63" i="17"/>
  <c r="J8" i="18"/>
  <c r="AE53" i="6"/>
  <c r="AI49" i="6"/>
  <c r="D48" i="12" s="1"/>
  <c r="AO23" i="6"/>
  <c r="F22" i="12"/>
  <c r="AE23" i="6"/>
  <c r="AF23" i="6"/>
  <c r="B36" i="8"/>
  <c r="H36" i="12"/>
  <c r="C66" i="17"/>
  <c r="AJ57" i="6"/>
  <c r="AI57" i="6" s="1"/>
  <c r="AI6" i="12"/>
  <c r="C43" i="17"/>
  <c r="M15" i="18"/>
  <c r="F11" i="12"/>
  <c r="AJ11" i="12" s="1"/>
  <c r="AO12" i="6"/>
  <c r="AN12" i="6"/>
  <c r="AE12" i="6"/>
  <c r="N11" i="20" s="1"/>
  <c r="AO62" i="6"/>
  <c r="F61" i="12"/>
  <c r="AN62" i="6"/>
  <c r="F41" i="12"/>
  <c r="AE42" i="6"/>
  <c r="N41" i="20" s="1"/>
  <c r="C25" i="17"/>
  <c r="AJ60" i="6"/>
  <c r="BC60" i="6" s="1"/>
  <c r="AA60" i="6"/>
  <c r="D32" i="17"/>
  <c r="N4" i="18" s="1"/>
  <c r="AF32" i="6"/>
  <c r="E32" i="17" s="1"/>
  <c r="I17" i="18"/>
  <c r="J11" i="18"/>
  <c r="AJ38" i="12"/>
  <c r="C27" i="17"/>
  <c r="F5" i="12"/>
  <c r="AJ5" i="12" s="1"/>
  <c r="AN6" i="6"/>
  <c r="I5" i="12" s="1"/>
  <c r="AO6" i="6"/>
  <c r="AE6" i="6"/>
  <c r="N5" i="20" s="1"/>
  <c r="R5" i="20" s="1"/>
  <c r="B45" i="8"/>
  <c r="H45" i="12"/>
  <c r="AI46" i="12"/>
  <c r="AE55" i="6"/>
  <c r="D55" i="17"/>
  <c r="N27" i="18" s="1"/>
  <c r="AO55" i="6"/>
  <c r="AN55" i="6"/>
  <c r="F54" i="12"/>
  <c r="J27" i="18" s="1"/>
  <c r="I13" i="18"/>
  <c r="Q13" i="18" s="1"/>
  <c r="AO37" i="6"/>
  <c r="F36" i="12"/>
  <c r="J9" i="18" s="1"/>
  <c r="AE37" i="6"/>
  <c r="AF37" i="6"/>
  <c r="H57" i="12"/>
  <c r="B57" i="8"/>
  <c r="AE11" i="6"/>
  <c r="F10" i="12"/>
  <c r="AJ10" i="12" s="1"/>
  <c r="AO11" i="6"/>
  <c r="J10" i="12" s="1"/>
  <c r="C57" i="17"/>
  <c r="M29" i="18"/>
  <c r="AN58" i="6"/>
  <c r="F57" i="12"/>
  <c r="AJ57" i="12" s="1"/>
  <c r="AO58" i="6"/>
  <c r="AL58" i="6" s="1"/>
  <c r="AE58" i="6"/>
  <c r="I15" i="18"/>
  <c r="AI42" i="12"/>
  <c r="AJ55" i="6"/>
  <c r="BC55" i="6"/>
  <c r="C13" i="17"/>
  <c r="AE30" i="6"/>
  <c r="N29" i="20"/>
  <c r="F29" i="12"/>
  <c r="AJ29" i="12" s="1"/>
  <c r="AO30" i="6"/>
  <c r="B59" i="8"/>
  <c r="H59" i="12"/>
  <c r="AI23" i="12"/>
  <c r="AO48" i="6"/>
  <c r="F47" i="12"/>
  <c r="AJ47" i="12" s="1"/>
  <c r="AN48" i="6"/>
  <c r="BG48" i="6" s="1"/>
  <c r="C52" i="17"/>
  <c r="M24" i="18"/>
  <c r="AI48" i="6"/>
  <c r="D47" i="12" s="1"/>
  <c r="AK47" i="12" s="1"/>
  <c r="E47" i="12"/>
  <c r="D9" i="17"/>
  <c r="AF9" i="6"/>
  <c r="C21" i="17"/>
  <c r="F56" i="12"/>
  <c r="AJ56" i="12" s="1"/>
  <c r="AE57" i="6"/>
  <c r="AO57" i="6"/>
  <c r="H34" i="12"/>
  <c r="B34" i="8"/>
  <c r="C7" i="17"/>
  <c r="AF7" i="6"/>
  <c r="C40" i="5"/>
  <c r="C45" i="17"/>
  <c r="M17" i="18" s="1"/>
  <c r="AO7" i="6"/>
  <c r="F6" i="12"/>
  <c r="AE7" i="6"/>
  <c r="C50" i="17"/>
  <c r="M22" i="18" s="1"/>
  <c r="AF50" i="6"/>
  <c r="H55" i="12"/>
  <c r="B55" i="8"/>
  <c r="F50" i="12"/>
  <c r="AE51" i="6"/>
  <c r="AO51" i="6"/>
  <c r="C65" i="17"/>
  <c r="AE38" i="6"/>
  <c r="N37" i="20" s="1"/>
  <c r="Q37" i="20" s="1"/>
  <c r="F37" i="12"/>
  <c r="J10" i="18" s="1"/>
  <c r="AO38" i="6"/>
  <c r="C47" i="17"/>
  <c r="M19" i="18"/>
  <c r="AI40" i="6"/>
  <c r="BB40" i="6" s="1"/>
  <c r="E45" i="12"/>
  <c r="AI46" i="6"/>
  <c r="AE41" i="6"/>
  <c r="N40" i="20"/>
  <c r="AO41" i="6"/>
  <c r="F40" i="12"/>
  <c r="H64" i="12"/>
  <c r="B64" i="8"/>
  <c r="C19" i="5"/>
  <c r="Z20" i="6"/>
  <c r="B20" i="5"/>
  <c r="J4" i="18"/>
  <c r="AE40" i="6"/>
  <c r="N39" i="20" s="1"/>
  <c r="AN40" i="6"/>
  <c r="F39" i="12"/>
  <c r="AJ39" i="12" s="1"/>
  <c r="AO40" i="6"/>
  <c r="AA8" i="6"/>
  <c r="C15" i="17"/>
  <c r="C23" i="17"/>
  <c r="C31" i="17"/>
  <c r="L32" i="18"/>
  <c r="C55" i="17"/>
  <c r="M27" i="18" s="1"/>
  <c r="AF55" i="6"/>
  <c r="E55" i="17" s="1"/>
  <c r="H62" i="12"/>
  <c r="B62" i="8"/>
  <c r="B60" i="8"/>
  <c r="H60" i="12"/>
  <c r="C54" i="17"/>
  <c r="M26" i="18" s="1"/>
  <c r="AN50" i="6"/>
  <c r="F49" i="12"/>
  <c r="AO50" i="6"/>
  <c r="H41" i="12"/>
  <c r="F45" i="12"/>
  <c r="AO46" i="6"/>
  <c r="E36" i="17"/>
  <c r="R35" i="12"/>
  <c r="C37" i="17"/>
  <c r="M9" i="18"/>
  <c r="F24" i="12"/>
  <c r="AO25" i="6"/>
  <c r="BH25" i="6" s="1"/>
  <c r="AE25" i="6"/>
  <c r="AJ14" i="6"/>
  <c r="BC14" i="6"/>
  <c r="AA14" i="6"/>
  <c r="AN14" i="6"/>
  <c r="I13" i="12" s="1"/>
  <c r="AI61" i="6"/>
  <c r="E60" i="12"/>
  <c r="B50" i="8"/>
  <c r="H50" i="12"/>
  <c r="I24" i="18"/>
  <c r="AI51" i="12"/>
  <c r="C40" i="17"/>
  <c r="M12" i="18" s="1"/>
  <c r="C46" i="17"/>
  <c r="M18" i="18"/>
  <c r="AO29" i="6"/>
  <c r="F28" i="12"/>
  <c r="AI38" i="12"/>
  <c r="B43" i="8"/>
  <c r="H43" i="12"/>
  <c r="F9" i="12"/>
  <c r="E7" i="12"/>
  <c r="AI8" i="6"/>
  <c r="BB8" i="6" s="1"/>
  <c r="AI22" i="12"/>
  <c r="AE46" i="6"/>
  <c r="V10" i="8"/>
  <c r="I26" i="18"/>
  <c r="C33" i="17"/>
  <c r="M5" i="18" s="1"/>
  <c r="I34" i="12"/>
  <c r="BG35" i="6"/>
  <c r="J8" i="12"/>
  <c r="BH9" i="6"/>
  <c r="J37" i="12"/>
  <c r="BH38" i="6"/>
  <c r="BH11" i="6"/>
  <c r="J54" i="12"/>
  <c r="BH55" i="6"/>
  <c r="J5" i="12"/>
  <c r="BH6" i="6"/>
  <c r="R11" i="18"/>
  <c r="J41" i="12"/>
  <c r="BH42" i="6"/>
  <c r="J22" i="12"/>
  <c r="BH23" i="6"/>
  <c r="J64" i="12"/>
  <c r="BH65" i="6"/>
  <c r="F21" i="12"/>
  <c r="AJ21" i="12" s="1"/>
  <c r="AO22" i="6"/>
  <c r="J21" i="12" s="1"/>
  <c r="BG39" i="6"/>
  <c r="I38" i="12"/>
  <c r="BC13" i="6"/>
  <c r="AI13" i="6"/>
  <c r="D12" i="12" s="1"/>
  <c r="BD18" i="6"/>
  <c r="AO18" i="6"/>
  <c r="AE18" i="6"/>
  <c r="F17" i="12"/>
  <c r="AJ17" i="12" s="1"/>
  <c r="J39" i="12"/>
  <c r="BH40" i="6"/>
  <c r="J23" i="12"/>
  <c r="BH24" i="6"/>
  <c r="I64" i="12"/>
  <c r="BG65" i="6"/>
  <c r="AK62" i="12"/>
  <c r="BB63" i="6"/>
  <c r="D16" i="12"/>
  <c r="AK16" i="12" s="1"/>
  <c r="BB17" i="6"/>
  <c r="BC19" i="6"/>
  <c r="D40" i="17"/>
  <c r="N12" i="18" s="1"/>
  <c r="D45" i="12"/>
  <c r="AK45" i="12" s="1"/>
  <c r="BB46" i="6"/>
  <c r="D7" i="17"/>
  <c r="N6" i="20"/>
  <c r="BB48" i="6"/>
  <c r="J36" i="12"/>
  <c r="BH37" i="6"/>
  <c r="BG6" i="6"/>
  <c r="D11" i="12"/>
  <c r="AK11" i="12" s="1"/>
  <c r="BB12" i="6"/>
  <c r="D24" i="17"/>
  <c r="N23" i="20"/>
  <c r="H61" i="12"/>
  <c r="BF62" i="6"/>
  <c r="B61" i="8"/>
  <c r="D17" i="17"/>
  <c r="N16" i="20"/>
  <c r="AF17" i="6"/>
  <c r="Q35" i="20"/>
  <c r="R35" i="20"/>
  <c r="E49" i="12"/>
  <c r="BC50" i="6"/>
  <c r="AI50" i="6"/>
  <c r="J38" i="8"/>
  <c r="J32" i="8"/>
  <c r="J26" i="8"/>
  <c r="J22" i="8"/>
  <c r="J9" i="8"/>
  <c r="J41" i="8"/>
  <c r="J7" i="8"/>
  <c r="J56" i="8"/>
  <c r="J37" i="8"/>
  <c r="J53" i="8"/>
  <c r="J25" i="8"/>
  <c r="J8" i="8"/>
  <c r="J21" i="8"/>
  <c r="J28" i="8"/>
  <c r="J17" i="8"/>
  <c r="J30" i="8"/>
  <c r="J35" i="8"/>
  <c r="J34" i="8"/>
  <c r="J24" i="8"/>
  <c r="J47" i="8"/>
  <c r="J40" i="8"/>
  <c r="J43" i="8"/>
  <c r="J31" i="8"/>
  <c r="J51" i="8"/>
  <c r="J46" i="8"/>
  <c r="J13" i="8"/>
  <c r="J11" i="8"/>
  <c r="D25" i="17"/>
  <c r="N24" i="20"/>
  <c r="J40" i="12"/>
  <c r="BH41" i="6"/>
  <c r="D37" i="17"/>
  <c r="N9" i="18" s="1"/>
  <c r="N36" i="20"/>
  <c r="Q36" i="20" s="1"/>
  <c r="J15" i="12"/>
  <c r="BH16" i="6"/>
  <c r="AK48" i="12"/>
  <c r="BB49" i="6"/>
  <c r="J16" i="12"/>
  <c r="BH17" i="6"/>
  <c r="I54" i="12"/>
  <c r="BG55" i="6"/>
  <c r="D7" i="12"/>
  <c r="AK7" i="12" s="1"/>
  <c r="R37" i="20"/>
  <c r="D60" i="12"/>
  <c r="BB61" i="6"/>
  <c r="D11" i="17"/>
  <c r="N10" i="20"/>
  <c r="Q11" i="20"/>
  <c r="R11" i="20"/>
  <c r="Z36" i="6"/>
  <c r="AA36" i="6" s="1"/>
  <c r="C35" i="5"/>
  <c r="D38" i="12"/>
  <c r="AK38" i="12" s="1"/>
  <c r="BB39" i="6"/>
  <c r="BD13" i="6"/>
  <c r="AE13" i="6"/>
  <c r="AO13" i="6"/>
  <c r="AN13" i="6"/>
  <c r="F12" i="12"/>
  <c r="AJ12" i="12" s="1"/>
  <c r="I47" i="12"/>
  <c r="Q5" i="20"/>
  <c r="J45" i="12"/>
  <c r="BH46" i="6"/>
  <c r="D39" i="12"/>
  <c r="AK39" i="12" s="1"/>
  <c r="J6" i="12"/>
  <c r="BH7" i="6"/>
  <c r="F37" i="5"/>
  <c r="B37" i="5" s="1"/>
  <c r="B36" i="5"/>
  <c r="E39" i="17"/>
  <c r="R38" i="12"/>
  <c r="BD48" i="6"/>
  <c r="AE48" i="6"/>
  <c r="D48" i="17" s="1"/>
  <c r="E44" i="12"/>
  <c r="BC45" i="6"/>
  <c r="AI45" i="6"/>
  <c r="E57" i="12"/>
  <c r="BC58" i="6"/>
  <c r="AI58" i="6"/>
  <c r="E5" i="12"/>
  <c r="BC6" i="6"/>
  <c r="AI6" i="6"/>
  <c r="I57" i="12"/>
  <c r="BG58" i="6"/>
  <c r="D23" i="17"/>
  <c r="N22" i="20"/>
  <c r="J61" i="12"/>
  <c r="BH62" i="6"/>
  <c r="J49" i="12"/>
  <c r="BH50" i="6"/>
  <c r="J50" i="12"/>
  <c r="BH51" i="6"/>
  <c r="J29" i="12"/>
  <c r="BH30" i="6"/>
  <c r="I61" i="12"/>
  <c r="BG62" i="6"/>
  <c r="J11" i="12"/>
  <c r="BH12" i="6"/>
  <c r="Q34" i="20"/>
  <c r="R34" i="20"/>
  <c r="I48" i="12"/>
  <c r="BG49" i="6"/>
  <c r="D55" i="12"/>
  <c r="AK55" i="12" s="1"/>
  <c r="BB56" i="6"/>
  <c r="Q38" i="20"/>
  <c r="D62" i="17"/>
  <c r="AF62" i="6"/>
  <c r="E7" i="17"/>
  <c r="R6" i="12"/>
  <c r="J29" i="18"/>
  <c r="R4" i="18"/>
  <c r="D53" i="17"/>
  <c r="N25" i="18" s="1"/>
  <c r="AF53" i="6"/>
  <c r="D16" i="17"/>
  <c r="AF16" i="6"/>
  <c r="E16" i="17" s="1"/>
  <c r="V11" i="8"/>
  <c r="E9" i="17"/>
  <c r="R8" i="12"/>
  <c r="D30" i="17"/>
  <c r="AF30" i="6"/>
  <c r="E30" i="17" s="1"/>
  <c r="AF25" i="6"/>
  <c r="E24" i="17"/>
  <c r="R23" i="12"/>
  <c r="AF40" i="6"/>
  <c r="AJ20" i="6"/>
  <c r="BC20" i="6"/>
  <c r="AA20" i="6"/>
  <c r="AJ37" i="12"/>
  <c r="AJ41" i="6"/>
  <c r="BC41" i="6" s="1"/>
  <c r="AA41" i="6"/>
  <c r="AN41" i="6" s="1"/>
  <c r="AI60" i="6"/>
  <c r="E59" i="12"/>
  <c r="D12" i="17"/>
  <c r="AF12" i="6"/>
  <c r="R11" i="12" s="1"/>
  <c r="Q15" i="18"/>
  <c r="AJ23" i="12"/>
  <c r="AE23" i="12" s="1"/>
  <c r="D41" i="17"/>
  <c r="N13" i="18"/>
  <c r="AF41" i="6"/>
  <c r="Q24" i="18"/>
  <c r="J30" i="18"/>
  <c r="R30" i="18" s="1"/>
  <c r="C42" i="5"/>
  <c r="Z43" i="6"/>
  <c r="E37" i="17"/>
  <c r="R36" i="12"/>
  <c r="J13" i="18"/>
  <c r="AJ40" i="12"/>
  <c r="D38" i="17"/>
  <c r="N10" i="18"/>
  <c r="AF38" i="6"/>
  <c r="AJ6" i="12"/>
  <c r="AL48" i="6"/>
  <c r="AL62" i="6"/>
  <c r="BE62" i="6" s="1"/>
  <c r="J21" i="18"/>
  <c r="AJ48" i="12"/>
  <c r="N21" i="18"/>
  <c r="Z21" i="6"/>
  <c r="AJ21" i="6" s="1"/>
  <c r="E20" i="12" s="1"/>
  <c r="B21" i="5"/>
  <c r="B22" i="5" s="1"/>
  <c r="C20" i="5"/>
  <c r="E13" i="12"/>
  <c r="AI14" i="6"/>
  <c r="AF65" i="6"/>
  <c r="E65" i="17" s="1"/>
  <c r="E54" i="12"/>
  <c r="AI55" i="6"/>
  <c r="D54" i="12" s="1"/>
  <c r="AK54" i="12" s="1"/>
  <c r="AL6" i="6"/>
  <c r="D42" i="17"/>
  <c r="N14" i="18"/>
  <c r="AF42" i="6"/>
  <c r="E42" i="17" s="1"/>
  <c r="J22" i="18"/>
  <c r="J12" i="18"/>
  <c r="D58" i="17"/>
  <c r="N30" i="18"/>
  <c r="J14" i="18"/>
  <c r="E50" i="17"/>
  <c r="R49" i="12"/>
  <c r="AE38" i="12"/>
  <c r="C41" i="5"/>
  <c r="Z42" i="6"/>
  <c r="R54" i="12"/>
  <c r="D51" i="17"/>
  <c r="N23" i="18" s="1"/>
  <c r="J23" i="18"/>
  <c r="AJ50" i="12"/>
  <c r="J18" i="18"/>
  <c r="AJ45" i="12"/>
  <c r="J20" i="18"/>
  <c r="D6" i="17"/>
  <c r="AF6" i="6"/>
  <c r="R31" i="12"/>
  <c r="AJ22" i="12"/>
  <c r="D35" i="17"/>
  <c r="N7" i="18"/>
  <c r="AL65" i="6"/>
  <c r="G57" i="12"/>
  <c r="AL57" i="12" s="1"/>
  <c r="BE58" i="6"/>
  <c r="D13" i="12"/>
  <c r="AK13" i="12" s="1"/>
  <c r="Y10" i="12" s="1"/>
  <c r="BB14" i="6"/>
  <c r="C37" i="5"/>
  <c r="Z38" i="6"/>
  <c r="AJ38" i="6" s="1"/>
  <c r="BB55" i="6"/>
  <c r="N20" i="18"/>
  <c r="J12" i="12"/>
  <c r="BH13" i="6"/>
  <c r="Q24" i="20"/>
  <c r="R24" i="20"/>
  <c r="E17" i="17"/>
  <c r="R16" i="12"/>
  <c r="Q23" i="20"/>
  <c r="R23" i="20"/>
  <c r="J17" i="12"/>
  <c r="BH18" i="6"/>
  <c r="R61" i="12"/>
  <c r="E62" i="17"/>
  <c r="D59" i="12"/>
  <c r="AK59" i="12" s="1"/>
  <c r="BB60" i="6"/>
  <c r="D13" i="17"/>
  <c r="N12" i="20"/>
  <c r="AF13" i="6"/>
  <c r="Q16" i="20"/>
  <c r="R16" i="20"/>
  <c r="R36" i="20"/>
  <c r="Q6" i="20"/>
  <c r="R6" i="20"/>
  <c r="D49" i="12"/>
  <c r="AK49" i="12" s="1"/>
  <c r="BB50" i="6"/>
  <c r="AK12" i="12"/>
  <c r="BB13" i="6"/>
  <c r="I12" i="12"/>
  <c r="BG13" i="6"/>
  <c r="AL13" i="6"/>
  <c r="AJ36" i="6"/>
  <c r="AN36" i="6"/>
  <c r="Q39" i="20"/>
  <c r="R39" i="20"/>
  <c r="N17" i="20"/>
  <c r="D18" i="17"/>
  <c r="G47" i="12"/>
  <c r="AL47" i="12" s="1"/>
  <c r="BE48" i="6"/>
  <c r="Q22" i="20"/>
  <c r="R22" i="20"/>
  <c r="D5" i="12"/>
  <c r="BB6" i="6"/>
  <c r="BH22" i="6"/>
  <c r="Z37" i="6"/>
  <c r="C36" i="5"/>
  <c r="Q10" i="20"/>
  <c r="R10" i="20"/>
  <c r="D57" i="12"/>
  <c r="AK57" i="12" s="1"/>
  <c r="BB58" i="6"/>
  <c r="G64" i="12"/>
  <c r="BE65" i="6"/>
  <c r="R20" i="18"/>
  <c r="D44" i="12"/>
  <c r="AK44" i="12" s="1"/>
  <c r="BB45" i="6"/>
  <c r="R29" i="12"/>
  <c r="E6" i="17"/>
  <c r="R5" i="12"/>
  <c r="AL41" i="6"/>
  <c r="AA43" i="6"/>
  <c r="AJ43" i="6"/>
  <c r="AI41" i="6"/>
  <c r="BB41" i="6" s="1"/>
  <c r="E19" i="12"/>
  <c r="AI20" i="6"/>
  <c r="E40" i="17"/>
  <c r="R39" i="12"/>
  <c r="E25" i="17"/>
  <c r="R24" i="12"/>
  <c r="R15" i="12"/>
  <c r="AA42" i="6"/>
  <c r="AN42" i="6" s="1"/>
  <c r="AJ42" i="6"/>
  <c r="AI42" i="6" s="1"/>
  <c r="R41" i="12"/>
  <c r="E41" i="17"/>
  <c r="R40" i="12"/>
  <c r="E12" i="17"/>
  <c r="V12" i="8"/>
  <c r="E53" i="17"/>
  <c r="R52" i="12"/>
  <c r="C21" i="5"/>
  <c r="Z22" i="6"/>
  <c r="R64" i="12"/>
  <c r="AA21" i="6"/>
  <c r="BC21" i="6"/>
  <c r="E38" i="17"/>
  <c r="R37" i="12"/>
  <c r="E35" i="12"/>
  <c r="E13" i="17"/>
  <c r="R12" i="12"/>
  <c r="D19" i="12"/>
  <c r="BB20" i="6"/>
  <c r="G40" i="12"/>
  <c r="AL40" i="12" s="1"/>
  <c r="BE41" i="6"/>
  <c r="D40" i="12"/>
  <c r="AK40" i="12" s="1"/>
  <c r="Q17" i="20"/>
  <c r="R17" i="20"/>
  <c r="BG36" i="6"/>
  <c r="AA38" i="6"/>
  <c r="AN38" i="6"/>
  <c r="BG38" i="6" s="1"/>
  <c r="AI21" i="6"/>
  <c r="AJ22" i="6"/>
  <c r="AI22" i="6" s="1"/>
  <c r="D21" i="12" s="1"/>
  <c r="AK21" i="12" s="1"/>
  <c r="AA22" i="6"/>
  <c r="AN22" i="6" s="1"/>
  <c r="V13" i="8"/>
  <c r="C22" i="5"/>
  <c r="E41" i="12"/>
  <c r="I37" i="12"/>
  <c r="D20" i="12"/>
  <c r="AK20" i="12" s="1"/>
  <c r="BB21" i="6"/>
  <c r="E37" i="12"/>
  <c r="D41" i="12"/>
  <c r="AK41" i="12" s="1"/>
  <c r="BB42" i="6"/>
  <c r="E21" i="12"/>
  <c r="BB22" i="6"/>
  <c r="AE8" i="12" l="1"/>
  <c r="R27" i="18"/>
  <c r="AE5" i="12"/>
  <c r="AJ54" i="12"/>
  <c r="AE6" i="12"/>
  <c r="R13" i="18"/>
  <c r="AK19" i="12"/>
  <c r="Q14" i="18"/>
  <c r="AI39" i="12"/>
  <c r="AE39" i="12" s="1"/>
  <c r="AI36" i="12"/>
  <c r="AE64" i="12"/>
  <c r="I12" i="18"/>
  <c r="Q12" i="18" s="1"/>
  <c r="AJ28" i="12"/>
  <c r="AK52" i="12"/>
  <c r="AJ16" i="12"/>
  <c r="AI25" i="12"/>
  <c r="AE10" i="12"/>
  <c r="AI44" i="12"/>
  <c r="R8" i="18"/>
  <c r="V11" i="18"/>
  <c r="R14" i="18"/>
  <c r="V14" i="18" s="1"/>
  <c r="AI56" i="12"/>
  <c r="Q9" i="18"/>
  <c r="V13" i="18"/>
  <c r="AJ34" i="12"/>
  <c r="Q26" i="18"/>
  <c r="AK60" i="12"/>
  <c r="AE11" i="12"/>
  <c r="Q17" i="18"/>
  <c r="AJ49" i="12"/>
  <c r="AD40" i="12"/>
  <c r="V4" i="18"/>
  <c r="V5" i="12"/>
  <c r="AI26" i="12"/>
  <c r="AJ27" i="12"/>
  <c r="L22" i="18"/>
  <c r="R22" i="18" s="1"/>
  <c r="AI63" i="12"/>
  <c r="AI48" i="12"/>
  <c r="AL64" i="12"/>
  <c r="Q19" i="18"/>
  <c r="AI55" i="12"/>
  <c r="Q20" i="18"/>
  <c r="R10" i="18"/>
  <c r="Q8" i="18"/>
  <c r="AI12" i="12"/>
  <c r="AE12" i="12" s="1"/>
  <c r="R7" i="18"/>
  <c r="AJ36" i="12"/>
  <c r="AE36" i="12" s="1"/>
  <c r="Q22" i="18"/>
  <c r="Q10" i="18"/>
  <c r="Q28" i="18"/>
  <c r="AI18" i="12"/>
  <c r="AJ24" i="12"/>
  <c r="AE24" i="12" s="1"/>
  <c r="AI49" i="12"/>
  <c r="AE49" i="12" s="1"/>
  <c r="AI52" i="12"/>
  <c r="AJ41" i="12"/>
  <c r="AE41" i="12" s="1"/>
  <c r="Q5" i="18"/>
  <c r="AK61" i="12"/>
  <c r="R21" i="18"/>
  <c r="V21" i="18" s="1"/>
  <c r="AK5" i="12"/>
  <c r="AI37" i="12"/>
  <c r="AE37" i="12" s="1"/>
  <c r="AI47" i="12"/>
  <c r="AJ14" i="12"/>
  <c r="BC43" i="6"/>
  <c r="E42" i="12"/>
  <c r="AI43" i="6"/>
  <c r="V14" i="8"/>
  <c r="I21" i="12"/>
  <c r="AL22" i="6"/>
  <c r="BG22" i="6"/>
  <c r="BG42" i="6"/>
  <c r="I41" i="12"/>
  <c r="AL42" i="6"/>
  <c r="AL36" i="6"/>
  <c r="I35" i="12"/>
  <c r="AJ37" i="6"/>
  <c r="AA37" i="6"/>
  <c r="AN37" i="6" s="1"/>
  <c r="BC38" i="6"/>
  <c r="AI38" i="6"/>
  <c r="Q40" i="20"/>
  <c r="R40" i="20"/>
  <c r="BC36" i="6"/>
  <c r="AI36" i="6"/>
  <c r="Q41" i="20"/>
  <c r="R41" i="20"/>
  <c r="Q29" i="20"/>
  <c r="R29" i="20"/>
  <c r="J34" i="12"/>
  <c r="AL35" i="6"/>
  <c r="BG16" i="6"/>
  <c r="I15" i="12"/>
  <c r="AL16" i="6"/>
  <c r="V20" i="18"/>
  <c r="BD43" i="6"/>
  <c r="AE43" i="6"/>
  <c r="AN43" i="6"/>
  <c r="AO43" i="6"/>
  <c r="F42" i="12"/>
  <c r="BC22" i="6"/>
  <c r="R12" i="18"/>
  <c r="BH35" i="6"/>
  <c r="R9" i="18"/>
  <c r="D56" i="12"/>
  <c r="AK56" i="12" s="1"/>
  <c r="BB57" i="6"/>
  <c r="Q12" i="20"/>
  <c r="R12" i="20"/>
  <c r="BH10" i="6"/>
  <c r="J38" i="12"/>
  <c r="BH39" i="6"/>
  <c r="AL39" i="6"/>
  <c r="AJ61" i="12"/>
  <c r="BC35" i="6"/>
  <c r="AI35" i="6"/>
  <c r="E34" i="12"/>
  <c r="BC42" i="6"/>
  <c r="D57" i="17"/>
  <c r="N29" i="18" s="1"/>
  <c r="R29" i="18" s="1"/>
  <c r="V29" i="18" s="1"/>
  <c r="AF57" i="6"/>
  <c r="D46" i="17"/>
  <c r="N18" i="18" s="1"/>
  <c r="R18" i="18" s="1"/>
  <c r="AF46" i="6"/>
  <c r="BH29" i="6"/>
  <c r="J28" i="12"/>
  <c r="E23" i="17"/>
  <c r="R22" i="12"/>
  <c r="AE22" i="12" s="1"/>
  <c r="I40" i="12"/>
  <c r="BG41" i="6"/>
  <c r="AE31" i="12"/>
  <c r="G61" i="12"/>
  <c r="AL61" i="12" s="1"/>
  <c r="Z23" i="6"/>
  <c r="B23" i="5"/>
  <c r="AL50" i="6"/>
  <c r="I49" i="12"/>
  <c r="BG50" i="6"/>
  <c r="I39" i="12"/>
  <c r="BG40" i="6"/>
  <c r="Q25" i="18"/>
  <c r="F53" i="12"/>
  <c r="AO54" i="6"/>
  <c r="BD54" i="6"/>
  <c r="AE54" i="6"/>
  <c r="BD22" i="6"/>
  <c r="AE22" i="6"/>
  <c r="BF55" i="6"/>
  <c r="H54" i="12"/>
  <c r="AL55" i="6"/>
  <c r="B54" i="8"/>
  <c r="E40" i="12"/>
  <c r="BG57" i="6"/>
  <c r="C11" i="17"/>
  <c r="J48" i="8"/>
  <c r="J29" i="8"/>
  <c r="J19" i="8"/>
  <c r="J42" i="8"/>
  <c r="J50" i="8"/>
  <c r="J45" i="8"/>
  <c r="J33" i="8"/>
  <c r="J20" i="8"/>
  <c r="J52" i="8"/>
  <c r="J12" i="8"/>
  <c r="J57" i="8"/>
  <c r="J16" i="8"/>
  <c r="J15" i="8"/>
  <c r="B54" i="17"/>
  <c r="J6" i="8"/>
  <c r="J55" i="8"/>
  <c r="J27" i="8"/>
  <c r="J10" i="8"/>
  <c r="J18" i="8"/>
  <c r="J5" i="8"/>
  <c r="C6" i="8" s="1"/>
  <c r="J36" i="8"/>
  <c r="J44" i="8"/>
  <c r="J23" i="8"/>
  <c r="J49" i="8"/>
  <c r="J54" i="8"/>
  <c r="J39" i="8"/>
  <c r="J14" i="8"/>
  <c r="AF48" i="6"/>
  <c r="J24" i="12"/>
  <c r="AI19" i="6"/>
  <c r="J56" i="12"/>
  <c r="BH57" i="6"/>
  <c r="I11" i="12"/>
  <c r="BG12" i="6"/>
  <c r="J57" i="12"/>
  <c r="BH58" i="6"/>
  <c r="BC18" i="6"/>
  <c r="E17" i="12"/>
  <c r="AI18" i="6"/>
  <c r="BG17" i="6"/>
  <c r="I16" i="12"/>
  <c r="C19" i="12"/>
  <c r="AK20" i="6"/>
  <c r="BA20" i="6"/>
  <c r="AD20" i="6"/>
  <c r="E11" i="17"/>
  <c r="AA47" i="6"/>
  <c r="AJ47" i="6"/>
  <c r="BD53" i="6"/>
  <c r="F52" i="12"/>
  <c r="AO53" i="6"/>
  <c r="AN53" i="6"/>
  <c r="AZ19" i="6"/>
  <c r="B18" i="12"/>
  <c r="AK19" i="6"/>
  <c r="BG14" i="6"/>
  <c r="I27" i="18"/>
  <c r="Q27" i="18" s="1"/>
  <c r="V27" i="18" s="1"/>
  <c r="AI54" i="12"/>
  <c r="J47" i="12"/>
  <c r="BH48" i="6"/>
  <c r="BD15" i="6"/>
  <c r="AN15" i="6"/>
  <c r="AE15" i="6"/>
  <c r="AO15" i="6"/>
  <c r="AF49" i="6"/>
  <c r="Q15" i="20"/>
  <c r="R15" i="20"/>
  <c r="E56" i="12"/>
  <c r="BC57" i="6"/>
  <c r="AF29" i="6"/>
  <c r="N28" i="20"/>
  <c r="AE14" i="6"/>
  <c r="AO14" i="6"/>
  <c r="F13" i="12"/>
  <c r="B20" i="12"/>
  <c r="AK21" i="6"/>
  <c r="AC21" i="6"/>
  <c r="B21" i="17" s="1"/>
  <c r="AM21" i="6"/>
  <c r="AZ21" i="6"/>
  <c r="BA44" i="6"/>
  <c r="AK44" i="6"/>
  <c r="C43" i="12"/>
  <c r="AD44" i="6"/>
  <c r="AJ44" i="6"/>
  <c r="AA11" i="6"/>
  <c r="AN11" i="6" s="1"/>
  <c r="AJ11" i="6"/>
  <c r="C58" i="12"/>
  <c r="AD59" i="6"/>
  <c r="AK59" i="6"/>
  <c r="BA59" i="6"/>
  <c r="AI57" i="12"/>
  <c r="AE60" i="6"/>
  <c r="D60" i="17" s="1"/>
  <c r="N32" i="18" s="1"/>
  <c r="BA60" i="6"/>
  <c r="AD60" i="6"/>
  <c r="AF61" i="12"/>
  <c r="AO60" i="6"/>
  <c r="AD64" i="6"/>
  <c r="AI64" i="6"/>
  <c r="AJ64" i="6"/>
  <c r="BA31" i="6"/>
  <c r="AK31" i="6"/>
  <c r="C30" i="12"/>
  <c r="AL57" i="6"/>
  <c r="F59" i="12"/>
  <c r="AM47" i="6"/>
  <c r="AK47" i="6"/>
  <c r="AZ47" i="6"/>
  <c r="B46" i="12"/>
  <c r="BA61" i="6"/>
  <c r="AK61" i="6"/>
  <c r="AD61" i="6"/>
  <c r="C60" i="12"/>
  <c r="AN60" i="6"/>
  <c r="BF57" i="6"/>
  <c r="AZ52" i="6"/>
  <c r="AM52" i="6"/>
  <c r="AC52" i="6"/>
  <c r="B52" i="17" s="1"/>
  <c r="B51" i="12"/>
  <c r="AK52" i="6"/>
  <c r="M58" i="12"/>
  <c r="AE10" i="6"/>
  <c r="B56" i="8"/>
  <c r="BH32" i="6"/>
  <c r="B59" i="12"/>
  <c r="AZ60" i="6"/>
  <c r="B65" i="12"/>
  <c r="AZ66" i="6"/>
  <c r="AM66" i="6"/>
  <c r="AK66" i="6"/>
  <c r="W7" i="8"/>
  <c r="U8" i="8"/>
  <c r="AN10" i="6"/>
  <c r="AI32" i="12"/>
  <c r="AI65" i="6"/>
  <c r="B49" i="8"/>
  <c r="BH36" i="6"/>
  <c r="D23" i="5"/>
  <c r="E22" i="5"/>
  <c r="AA7" i="6"/>
  <c r="AN7" i="6" s="1"/>
  <c r="AJ7" i="6"/>
  <c r="L23" i="18"/>
  <c r="R23" i="18" s="1"/>
  <c r="L6" i="18"/>
  <c r="E53" i="5"/>
  <c r="Z54" i="6"/>
  <c r="B41" i="8"/>
  <c r="E64" i="12"/>
  <c r="C59" i="12"/>
  <c r="BA51" i="6"/>
  <c r="AD51" i="6"/>
  <c r="C50" i="12"/>
  <c r="AJ51" i="6"/>
  <c r="BF36" i="6"/>
  <c r="H35" i="12"/>
  <c r="B35" i="8"/>
  <c r="AC23" i="6"/>
  <c r="B23" i="17" s="1"/>
  <c r="AM23" i="6"/>
  <c r="AM19" i="6"/>
  <c r="AC19" i="6"/>
  <c r="B19" i="17" s="1"/>
  <c r="AI52" i="6"/>
  <c r="BC52" i="6"/>
  <c r="B53" i="12"/>
  <c r="AM54" i="6"/>
  <c r="I18" i="18"/>
  <c r="Q18" i="18" s="1"/>
  <c r="AI45" i="12"/>
  <c r="AZ45" i="6"/>
  <c r="B44" i="12"/>
  <c r="AM45" i="6"/>
  <c r="AK45" i="6"/>
  <c r="AM49" i="6"/>
  <c r="AZ49" i="6"/>
  <c r="AM9" i="6"/>
  <c r="AL9" i="6" s="1"/>
  <c r="AC9" i="6"/>
  <c r="B9" i="17" s="1"/>
  <c r="AK64" i="6"/>
  <c r="AO49" i="6"/>
  <c r="AM40" i="6"/>
  <c r="AK26" i="6"/>
  <c r="AJ16" i="6"/>
  <c r="AK63" i="6"/>
  <c r="AZ8" i="6"/>
  <c r="B7" i="12"/>
  <c r="AM64" i="6"/>
  <c r="AZ32" i="6"/>
  <c r="BF39" i="6"/>
  <c r="H38" i="12"/>
  <c r="B38" i="8"/>
  <c r="AR10" i="6"/>
  <c r="AX10" i="6" s="1"/>
  <c r="M9" i="12" s="1"/>
  <c r="AJ9" i="12" s="1"/>
  <c r="B62" i="12"/>
  <c r="AK8" i="6"/>
  <c r="C52" i="5"/>
  <c r="AD35" i="6"/>
  <c r="AD22" i="6"/>
  <c r="P13" i="18"/>
  <c r="U13" i="18" s="1"/>
  <c r="S40" i="12"/>
  <c r="AF40" i="12" s="1"/>
  <c r="AD14" i="6"/>
  <c r="C13" i="12"/>
  <c r="AD58" i="6"/>
  <c r="U25" i="18"/>
  <c r="AI29" i="12"/>
  <c r="AE29" i="12" s="1"/>
  <c r="B16" i="12"/>
  <c r="AK34" i="6"/>
  <c r="C33" i="12"/>
  <c r="BC10" i="6"/>
  <c r="E9" i="12"/>
  <c r="AI10" i="6"/>
  <c r="BA56" i="6"/>
  <c r="AI9" i="6"/>
  <c r="BD49" i="6"/>
  <c r="M62" i="12"/>
  <c r="AC63" i="6"/>
  <c r="B63" i="17" s="1"/>
  <c r="AM17" i="6"/>
  <c r="AL17" i="6" s="1"/>
  <c r="O17" i="18"/>
  <c r="U17" i="18" s="1"/>
  <c r="S44" i="12"/>
  <c r="AF44" i="12" s="1"/>
  <c r="BA14" i="6"/>
  <c r="AZ17" i="6"/>
  <c r="AZ12" i="6"/>
  <c r="AM12" i="6"/>
  <c r="AL12" i="6" s="1"/>
  <c r="C17" i="12"/>
  <c r="AD18" i="6"/>
  <c r="BA18" i="6"/>
  <c r="AA46" i="6"/>
  <c r="AN46" i="6" s="1"/>
  <c r="BA17" i="6"/>
  <c r="C16" i="12"/>
  <c r="BA15" i="6"/>
  <c r="AJ15" i="6"/>
  <c r="Z59" i="6"/>
  <c r="AA59" i="6" s="1"/>
  <c r="E58" i="5"/>
  <c r="AM8" i="6"/>
  <c r="AC17" i="6"/>
  <c r="B17" i="17" s="1"/>
  <c r="C15" i="12"/>
  <c r="AM38" i="6"/>
  <c r="AR37" i="6"/>
  <c r="C27" i="12"/>
  <c r="AK56" i="6"/>
  <c r="S55" i="12"/>
  <c r="AF55" i="12" s="1"/>
  <c r="P28" i="18"/>
  <c r="U28" i="18" s="1"/>
  <c r="P8" i="18"/>
  <c r="U8" i="18" s="1"/>
  <c r="S35" i="12"/>
  <c r="AF35" i="12" s="1"/>
  <c r="S54" i="12"/>
  <c r="AF54" i="12" s="1"/>
  <c r="P27" i="18"/>
  <c r="U27" i="18" s="1"/>
  <c r="U7" i="18"/>
  <c r="S62" i="12"/>
  <c r="AF62" i="12" s="1"/>
  <c r="S14" i="12"/>
  <c r="AF14" i="12" s="1"/>
  <c r="S26" i="12"/>
  <c r="AF26" i="12" s="1"/>
  <c r="AG27" i="6"/>
  <c r="AG33" i="6"/>
  <c r="F31" i="17"/>
  <c r="F30" i="17" s="1"/>
  <c r="F29" i="17" s="1"/>
  <c r="F28" i="17" s="1"/>
  <c r="F27" i="17" s="1"/>
  <c r="F26" i="17" s="1"/>
  <c r="F25" i="17" s="1"/>
  <c r="F24" i="17" s="1"/>
  <c r="F23" i="17" s="1"/>
  <c r="F22" i="17" s="1"/>
  <c r="F21" i="17" s="1"/>
  <c r="F20" i="17" s="1"/>
  <c r="F19" i="17" s="1"/>
  <c r="F18" i="17" s="1"/>
  <c r="F17" i="17" s="1"/>
  <c r="F16" i="17" s="1"/>
  <c r="F15" i="17" s="1"/>
  <c r="F14" i="17" s="1"/>
  <c r="F13" i="17" s="1"/>
  <c r="F12" i="17" s="1"/>
  <c r="F11" i="17" s="1"/>
  <c r="F10" i="17" s="1"/>
  <c r="F9" i="17" s="1"/>
  <c r="F8" i="17" s="1"/>
  <c r="F7" i="17" s="1"/>
  <c r="F6" i="17" s="1"/>
  <c r="S32" i="12"/>
  <c r="AF32" i="12" s="1"/>
  <c r="P5" i="18"/>
  <c r="U5" i="18" s="1"/>
  <c r="E21" i="5"/>
  <c r="AA18" i="6"/>
  <c r="AN18" i="6" s="1"/>
  <c r="Z51" i="6"/>
  <c r="AA51" i="6" s="1"/>
  <c r="AN51" i="6" s="1"/>
  <c r="L5" i="18"/>
  <c r="V8" i="18" l="1"/>
  <c r="V9" i="18"/>
  <c r="AE61" i="12"/>
  <c r="AG61" i="12" s="1"/>
  <c r="V12" i="18"/>
  <c r="V22" i="18"/>
  <c r="AE54" i="12"/>
  <c r="V10" i="18"/>
  <c r="AD61" i="12"/>
  <c r="D51" i="12"/>
  <c r="AK51" i="12" s="1"/>
  <c r="BB52" i="6"/>
  <c r="I23" i="18"/>
  <c r="AI50" i="12"/>
  <c r="W8" i="8"/>
  <c r="U9" i="8"/>
  <c r="L31" i="18"/>
  <c r="J59" i="12"/>
  <c r="BH60" i="6"/>
  <c r="AJ13" i="12"/>
  <c r="B24" i="5"/>
  <c r="Z24" i="6"/>
  <c r="C23" i="5"/>
  <c r="BB10" i="6"/>
  <c r="D9" i="12"/>
  <c r="AK9" i="12" s="1"/>
  <c r="C51" i="17"/>
  <c r="M23" i="18" s="1"/>
  <c r="AF51" i="6"/>
  <c r="AI7" i="6"/>
  <c r="E6" i="12"/>
  <c r="BC7" i="6"/>
  <c r="AE52" i="6"/>
  <c r="BD52" i="6"/>
  <c r="F51" i="12"/>
  <c r="AO52" i="6"/>
  <c r="AN52" i="6"/>
  <c r="AL52" i="6"/>
  <c r="S65" i="12"/>
  <c r="AF65" i="12" s="1"/>
  <c r="I10" i="12"/>
  <c r="BG11" i="6"/>
  <c r="AL11" i="6"/>
  <c r="J13" i="12"/>
  <c r="BH14" i="6"/>
  <c r="AL14" i="6"/>
  <c r="C20" i="17"/>
  <c r="AF20" i="6"/>
  <c r="AF54" i="6"/>
  <c r="D54" i="17"/>
  <c r="N26" i="18" s="1"/>
  <c r="AA23" i="6"/>
  <c r="AN23" i="6" s="1"/>
  <c r="AJ23" i="6"/>
  <c r="BE39" i="6"/>
  <c r="G38" i="12"/>
  <c r="AL38" i="12" s="1"/>
  <c r="AD38" i="12" s="1"/>
  <c r="AG38" i="12" s="1"/>
  <c r="BE36" i="6"/>
  <c r="G35" i="12"/>
  <c r="AL35" i="12" s="1"/>
  <c r="V15" i="8"/>
  <c r="BC11" i="6"/>
  <c r="E10" i="12"/>
  <c r="AI11" i="6"/>
  <c r="BB36" i="6"/>
  <c r="D35" i="12"/>
  <c r="AK35" i="12" s="1"/>
  <c r="C22" i="17"/>
  <c r="AF22" i="6"/>
  <c r="BF64" i="6"/>
  <c r="B63" i="8"/>
  <c r="H63" i="12"/>
  <c r="BF49" i="6"/>
  <c r="H48" i="12"/>
  <c r="AL49" i="6"/>
  <c r="B48" i="8"/>
  <c r="AL7" i="6"/>
  <c r="BG7" i="6"/>
  <c r="I6" i="12"/>
  <c r="BD66" i="6"/>
  <c r="AE66" i="6"/>
  <c r="AO66" i="6"/>
  <c r="F65" i="12"/>
  <c r="AN66" i="6"/>
  <c r="BD47" i="6"/>
  <c r="AN47" i="6"/>
  <c r="F46" i="12"/>
  <c r="AO47" i="6"/>
  <c r="AE47" i="6"/>
  <c r="BC44" i="6"/>
  <c r="E43" i="12"/>
  <c r="N13" i="20"/>
  <c r="D14" i="17"/>
  <c r="J14" i="12"/>
  <c r="BH15" i="6"/>
  <c r="I52" i="12"/>
  <c r="BG53" i="6"/>
  <c r="AL53" i="6"/>
  <c r="E46" i="17"/>
  <c r="R45" i="12"/>
  <c r="AE45" i="12" s="1"/>
  <c r="AE35" i="12"/>
  <c r="N14" i="20"/>
  <c r="AF15" i="6"/>
  <c r="D15" i="17"/>
  <c r="E14" i="12"/>
  <c r="AI15" i="6"/>
  <c r="BC15" i="6"/>
  <c r="I6" i="18"/>
  <c r="Q6" i="18" s="1"/>
  <c r="AI33" i="12"/>
  <c r="BF45" i="6"/>
  <c r="B44" i="8"/>
  <c r="H44" i="12"/>
  <c r="E23" i="5"/>
  <c r="D24" i="5"/>
  <c r="BF52" i="6"/>
  <c r="B51" i="8"/>
  <c r="H51" i="12"/>
  <c r="J32" i="18"/>
  <c r="R32" i="18" s="1"/>
  <c r="AJ59" i="12"/>
  <c r="I16" i="18"/>
  <c r="AI43" i="12"/>
  <c r="R28" i="12"/>
  <c r="AE28" i="12" s="1"/>
  <c r="E29" i="17"/>
  <c r="I14" i="12"/>
  <c r="BG15" i="6"/>
  <c r="AL15" i="6"/>
  <c r="AJ52" i="12"/>
  <c r="AE52" i="12" s="1"/>
  <c r="J25" i="18"/>
  <c r="R25" i="18" s="1"/>
  <c r="V25" i="18" s="1"/>
  <c r="AI19" i="12"/>
  <c r="D18" i="12"/>
  <c r="AK18" i="12" s="1"/>
  <c r="BB19" i="6"/>
  <c r="J26" i="18"/>
  <c r="AJ53" i="12"/>
  <c r="E57" i="17"/>
  <c r="R56" i="12"/>
  <c r="AE56" i="12" s="1"/>
  <c r="BE35" i="6"/>
  <c r="G34" i="12"/>
  <c r="AL34" i="12" s="1"/>
  <c r="D42" i="12"/>
  <c r="AK42" i="12" s="1"/>
  <c r="BB43" i="6"/>
  <c r="J52" i="12"/>
  <c r="BH53" i="6"/>
  <c r="AZ33" i="6"/>
  <c r="B32" i="12"/>
  <c r="AC33" i="6"/>
  <c r="B33" i="17" s="1"/>
  <c r="AK33" i="6"/>
  <c r="AM33" i="6"/>
  <c r="AO34" i="6"/>
  <c r="AE34" i="6"/>
  <c r="BD34" i="6"/>
  <c r="F33" i="12"/>
  <c r="AO8" i="6"/>
  <c r="BD8" i="6"/>
  <c r="F7" i="12"/>
  <c r="AN8" i="6"/>
  <c r="AE8" i="6"/>
  <c r="BD63" i="6"/>
  <c r="AO63" i="6"/>
  <c r="AE63" i="6"/>
  <c r="F62" i="12"/>
  <c r="AN63" i="6"/>
  <c r="AL63" i="6"/>
  <c r="AJ59" i="6"/>
  <c r="BE57" i="6"/>
  <c r="G56" i="12"/>
  <c r="AL56" i="12" s="1"/>
  <c r="BD44" i="6"/>
  <c r="F43" i="12"/>
  <c r="AO44" i="6"/>
  <c r="AE44" i="6"/>
  <c r="D44" i="17" s="1"/>
  <c r="N16" i="18" s="1"/>
  <c r="AN44" i="6"/>
  <c r="AL44" i="6" s="1"/>
  <c r="D37" i="12"/>
  <c r="AK37" i="12" s="1"/>
  <c r="BB38" i="6"/>
  <c r="BD45" i="6"/>
  <c r="AE45" i="6"/>
  <c r="F44" i="12"/>
  <c r="AN45" i="6"/>
  <c r="AO45" i="6"/>
  <c r="BF47" i="6"/>
  <c r="H46" i="12"/>
  <c r="B46" i="8"/>
  <c r="AE20" i="6"/>
  <c r="AN20" i="6"/>
  <c r="BD20" i="6"/>
  <c r="F19" i="12"/>
  <c r="AO20" i="6"/>
  <c r="AC27" i="6"/>
  <c r="B27" i="17" s="1"/>
  <c r="AK27" i="6"/>
  <c r="B26" i="12"/>
  <c r="AM27" i="6"/>
  <c r="AZ27" i="6"/>
  <c r="AI16" i="12"/>
  <c r="AE16" i="12" s="1"/>
  <c r="BC16" i="6"/>
  <c r="E15" i="12"/>
  <c r="AI16" i="6"/>
  <c r="AJ54" i="6"/>
  <c r="AA54" i="6"/>
  <c r="AN54" i="6" s="1"/>
  <c r="AI30" i="12"/>
  <c r="BC47" i="6"/>
  <c r="AI47" i="6"/>
  <c r="E46" i="12"/>
  <c r="AS7" i="6"/>
  <c r="N6" i="12" s="1"/>
  <c r="D6" i="8"/>
  <c r="AT7" i="6" s="1"/>
  <c r="O6" i="12" s="1"/>
  <c r="G41" i="12"/>
  <c r="AL41" i="12" s="1"/>
  <c r="AD41" i="12" s="1"/>
  <c r="AG41" i="12" s="1"/>
  <c r="BE42" i="6"/>
  <c r="AE56" i="6"/>
  <c r="AN56" i="6"/>
  <c r="AL56" i="6" s="1"/>
  <c r="F55" i="12"/>
  <c r="BD56" i="6"/>
  <c r="AO56" i="6"/>
  <c r="BD26" i="6"/>
  <c r="AO26" i="6"/>
  <c r="AE26" i="6"/>
  <c r="F25" i="12"/>
  <c r="I59" i="12"/>
  <c r="BG60" i="6"/>
  <c r="AL60" i="6"/>
  <c r="BD31" i="6"/>
  <c r="AO31" i="6"/>
  <c r="AE31" i="6"/>
  <c r="F30" i="12"/>
  <c r="D17" i="12"/>
  <c r="AK17" i="12" s="1"/>
  <c r="BB18" i="6"/>
  <c r="R47" i="12"/>
  <c r="E48" i="17"/>
  <c r="AJ42" i="12"/>
  <c r="J15" i="18"/>
  <c r="AE40" i="12"/>
  <c r="AG40" i="12" s="1"/>
  <c r="I32" i="18"/>
  <c r="AI59" i="12"/>
  <c r="C60" i="17"/>
  <c r="M32" i="18" s="1"/>
  <c r="AF60" i="6"/>
  <c r="AI27" i="12"/>
  <c r="AE27" i="12" s="1"/>
  <c r="I45" i="12"/>
  <c r="BG46" i="6"/>
  <c r="AL46" i="6"/>
  <c r="BF40" i="6"/>
  <c r="B39" i="8"/>
  <c r="H39" i="12"/>
  <c r="AL40" i="6"/>
  <c r="V18" i="18"/>
  <c r="I33" i="18"/>
  <c r="AI60" i="12"/>
  <c r="BE55" i="6"/>
  <c r="G54" i="12"/>
  <c r="AL54" i="12" s="1"/>
  <c r="AD54" i="12" s="1"/>
  <c r="AI44" i="6"/>
  <c r="D34" i="12"/>
  <c r="AK34" i="12" s="1"/>
  <c r="BB35" i="6"/>
  <c r="BH43" i="6"/>
  <c r="J42" i="12"/>
  <c r="BG37" i="6"/>
  <c r="I36" i="12"/>
  <c r="AL37" i="6"/>
  <c r="C35" i="17"/>
  <c r="M7" i="18" s="1"/>
  <c r="Q7" i="18" s="1"/>
  <c r="V7" i="18" s="1"/>
  <c r="AF35" i="6"/>
  <c r="B65" i="8"/>
  <c r="BF66" i="6"/>
  <c r="H65" i="12"/>
  <c r="Q28" i="20"/>
  <c r="R28" i="20"/>
  <c r="C58" i="17"/>
  <c r="M30" i="18" s="1"/>
  <c r="Q30" i="18" s="1"/>
  <c r="V30" i="18" s="1"/>
  <c r="AF58" i="6"/>
  <c r="J48" i="12"/>
  <c r="BH49" i="6"/>
  <c r="H53" i="12"/>
  <c r="B53" i="8"/>
  <c r="BF54" i="6"/>
  <c r="AL54" i="6"/>
  <c r="D64" i="12"/>
  <c r="AK64" i="12" s="1"/>
  <c r="AD64" i="12" s="1"/>
  <c r="AG64" i="12" s="1"/>
  <c r="BB65" i="6"/>
  <c r="C61" i="17"/>
  <c r="M33" i="18" s="1"/>
  <c r="AF61" i="6"/>
  <c r="E63" i="12"/>
  <c r="BC64" i="6"/>
  <c r="BD59" i="6"/>
  <c r="AO59" i="6"/>
  <c r="F58" i="12"/>
  <c r="AN59" i="6"/>
  <c r="AE59" i="6"/>
  <c r="D59" i="17" s="1"/>
  <c r="N31" i="18" s="1"/>
  <c r="AL59" i="6"/>
  <c r="I42" i="12"/>
  <c r="BG43" i="6"/>
  <c r="AL43" i="6"/>
  <c r="BC37" i="6"/>
  <c r="AI37" i="6"/>
  <c r="E36" i="12"/>
  <c r="AL51" i="6"/>
  <c r="I50" i="12"/>
  <c r="BG51" i="6"/>
  <c r="H37" i="12"/>
  <c r="BF38" i="6"/>
  <c r="B37" i="8"/>
  <c r="AL38" i="6"/>
  <c r="C18" i="17"/>
  <c r="AF18" i="6"/>
  <c r="AI13" i="12"/>
  <c r="BD64" i="6"/>
  <c r="AO64" i="6"/>
  <c r="F63" i="12"/>
  <c r="AN64" i="6"/>
  <c r="AE64" i="6"/>
  <c r="D64" i="17" s="1"/>
  <c r="AF10" i="6"/>
  <c r="N9" i="20"/>
  <c r="D10" i="17"/>
  <c r="BD61" i="6"/>
  <c r="AE61" i="6"/>
  <c r="D61" i="17" s="1"/>
  <c r="N33" i="18" s="1"/>
  <c r="AN61" i="6"/>
  <c r="AO61" i="6"/>
  <c r="AL61" i="6"/>
  <c r="F60" i="12"/>
  <c r="BB64" i="6"/>
  <c r="D63" i="12"/>
  <c r="AK63" i="12" s="1"/>
  <c r="C59" i="17"/>
  <c r="M31" i="18" s="1"/>
  <c r="AF59" i="6"/>
  <c r="BD21" i="6"/>
  <c r="AO21" i="6"/>
  <c r="AE21" i="6"/>
  <c r="F20" i="12"/>
  <c r="AN21" i="6"/>
  <c r="D43" i="17"/>
  <c r="N15" i="18" s="1"/>
  <c r="AF43" i="6"/>
  <c r="AF44" i="6"/>
  <c r="C44" i="17"/>
  <c r="M16" i="18" s="1"/>
  <c r="J53" i="12"/>
  <c r="BH54" i="6"/>
  <c r="I17" i="12"/>
  <c r="BG18" i="6"/>
  <c r="AL18" i="6"/>
  <c r="AI15" i="12"/>
  <c r="AE15" i="12" s="1"/>
  <c r="AI17" i="12"/>
  <c r="BB9" i="6"/>
  <c r="D8" i="12"/>
  <c r="AK8" i="12" s="1"/>
  <c r="C14" i="17"/>
  <c r="AF14" i="6"/>
  <c r="BC51" i="6"/>
  <c r="AI51" i="6"/>
  <c r="E50" i="12"/>
  <c r="BG10" i="6"/>
  <c r="AL10" i="6"/>
  <c r="I9" i="12"/>
  <c r="C64" i="17"/>
  <c r="AF64" i="6"/>
  <c r="I31" i="18"/>
  <c r="AI58" i="12"/>
  <c r="E49" i="17"/>
  <c r="R48" i="12"/>
  <c r="AE48" i="12" s="1"/>
  <c r="BD19" i="6"/>
  <c r="AE19" i="6"/>
  <c r="F18" i="12"/>
  <c r="AN19" i="6"/>
  <c r="AL19" i="6" s="1"/>
  <c r="AO19" i="6"/>
  <c r="N21" i="20"/>
  <c r="D22" i="17"/>
  <c r="G49" i="12"/>
  <c r="AL49" i="12" s="1"/>
  <c r="AD49" i="12" s="1"/>
  <c r="AG49" i="12" s="1"/>
  <c r="BE50" i="6"/>
  <c r="Q31" i="18" l="1"/>
  <c r="AG54" i="12"/>
  <c r="Q33" i="18"/>
  <c r="Q23" i="18"/>
  <c r="V23" i="18" s="1"/>
  <c r="AD56" i="12"/>
  <c r="R26" i="18"/>
  <c r="V26" i="18" s="1"/>
  <c r="Q16" i="18"/>
  <c r="Q32" i="18"/>
  <c r="BE56" i="6"/>
  <c r="G55" i="12"/>
  <c r="AL55" i="12" s="1"/>
  <c r="BE44" i="6"/>
  <c r="G43" i="12"/>
  <c r="AL43" i="12" s="1"/>
  <c r="BE53" i="6"/>
  <c r="G52" i="12"/>
  <c r="AL52" i="12" s="1"/>
  <c r="AD52" i="12" s="1"/>
  <c r="AG52" i="12" s="1"/>
  <c r="J19" i="18"/>
  <c r="AJ46" i="12"/>
  <c r="AJ18" i="12"/>
  <c r="N20" i="20"/>
  <c r="AF21" i="6"/>
  <c r="D21" i="17"/>
  <c r="D36" i="12"/>
  <c r="AK36" i="12" s="1"/>
  <c r="BB37" i="6"/>
  <c r="BH31" i="6"/>
  <c r="J30" i="12"/>
  <c r="E6" i="8"/>
  <c r="AU7" i="6" s="1"/>
  <c r="P6" i="12" s="1"/>
  <c r="AC6" i="12" s="1"/>
  <c r="J19" i="12"/>
  <c r="BH20" i="6"/>
  <c r="D45" i="17"/>
  <c r="N17" i="18" s="1"/>
  <c r="AF45" i="6"/>
  <c r="I7" i="12"/>
  <c r="BG8" i="6"/>
  <c r="BD33" i="6"/>
  <c r="AE33" i="6"/>
  <c r="F32" i="12"/>
  <c r="AO33" i="6"/>
  <c r="D47" i="17"/>
  <c r="N19" i="18" s="1"/>
  <c r="AF47" i="6"/>
  <c r="BC23" i="6"/>
  <c r="AI23" i="6"/>
  <c r="E22" i="12"/>
  <c r="BB51" i="6"/>
  <c r="D50" i="12"/>
  <c r="AK50" i="12" s="1"/>
  <c r="D10" i="12"/>
  <c r="AK10" i="12" s="1"/>
  <c r="BB11" i="6"/>
  <c r="R13" i="12"/>
  <c r="AE13" i="12" s="1"/>
  <c r="E14" i="17"/>
  <c r="J24" i="18"/>
  <c r="AJ51" i="12"/>
  <c r="G58" i="12"/>
  <c r="AL58" i="12" s="1"/>
  <c r="BE59" i="6"/>
  <c r="BE54" i="6"/>
  <c r="G53" i="12"/>
  <c r="AL53" i="12" s="1"/>
  <c r="BE40" i="6"/>
  <c r="G39" i="12"/>
  <c r="AL39" i="12" s="1"/>
  <c r="AD39" i="12" s="1"/>
  <c r="AG39" i="12" s="1"/>
  <c r="V32" i="18"/>
  <c r="D56" i="17"/>
  <c r="N28" i="18" s="1"/>
  <c r="AF56" i="6"/>
  <c r="I62" i="12"/>
  <c r="BG63" i="6"/>
  <c r="BG66" i="6"/>
  <c r="I65" i="12"/>
  <c r="AA24" i="6"/>
  <c r="AN24" i="6" s="1"/>
  <c r="AJ24" i="6"/>
  <c r="E61" i="17"/>
  <c r="R60" i="12"/>
  <c r="R19" i="12"/>
  <c r="E20" i="17"/>
  <c r="E44" i="17"/>
  <c r="R43" i="12"/>
  <c r="I63" i="12"/>
  <c r="BG64" i="6"/>
  <c r="AJ62" i="12"/>
  <c r="AJ33" i="12"/>
  <c r="J6" i="18"/>
  <c r="E24" i="5"/>
  <c r="D25" i="5"/>
  <c r="E15" i="17"/>
  <c r="R14" i="12"/>
  <c r="AE14" i="12" s="1"/>
  <c r="AJ65" i="12"/>
  <c r="D52" i="17"/>
  <c r="N24" i="18" s="1"/>
  <c r="AF52" i="6"/>
  <c r="C24" i="5"/>
  <c r="Z25" i="6"/>
  <c r="B25" i="5"/>
  <c r="E18" i="17"/>
  <c r="R17" i="12"/>
  <c r="BG23" i="6"/>
  <c r="I22" i="12"/>
  <c r="R9" i="20"/>
  <c r="Q9" i="20"/>
  <c r="I51" i="12"/>
  <c r="BG52" i="6"/>
  <c r="E10" i="17"/>
  <c r="R9" i="12"/>
  <c r="AE9" i="12" s="1"/>
  <c r="D46" i="12"/>
  <c r="AK46" i="12" s="1"/>
  <c r="BB47" i="6"/>
  <c r="BH8" i="6"/>
  <c r="J7" i="12"/>
  <c r="I46" i="12"/>
  <c r="BG47" i="6"/>
  <c r="AE47" i="12"/>
  <c r="AD47" i="12"/>
  <c r="E43" i="17"/>
  <c r="R42" i="12"/>
  <c r="AE42" i="12" s="1"/>
  <c r="J33" i="18"/>
  <c r="R33" i="18" s="1"/>
  <c r="V33" i="18" s="1"/>
  <c r="AJ60" i="12"/>
  <c r="AJ63" i="12"/>
  <c r="I58" i="12"/>
  <c r="BG59" i="6"/>
  <c r="AJ25" i="12"/>
  <c r="D63" i="17"/>
  <c r="AF63" i="6"/>
  <c r="Q14" i="20"/>
  <c r="R14" i="20"/>
  <c r="Q13" i="20"/>
  <c r="R13" i="20"/>
  <c r="BH66" i="6"/>
  <c r="J65" i="12"/>
  <c r="V16" i="8"/>
  <c r="N18" i="20"/>
  <c r="D19" i="17"/>
  <c r="AF19" i="6"/>
  <c r="BE37" i="6"/>
  <c r="G36" i="12"/>
  <c r="AL36" i="12" s="1"/>
  <c r="AD36" i="12" s="1"/>
  <c r="AG36" i="12" s="1"/>
  <c r="G51" i="12"/>
  <c r="AL51" i="12" s="1"/>
  <c r="BE52" i="6"/>
  <c r="BE60" i="6"/>
  <c r="G59" i="12"/>
  <c r="AL59" i="12" s="1"/>
  <c r="R58" i="12"/>
  <c r="E59" i="17"/>
  <c r="BG20" i="6"/>
  <c r="I19" i="12"/>
  <c r="U10" i="8"/>
  <c r="W9" i="8"/>
  <c r="D20" i="17"/>
  <c r="N19" i="20"/>
  <c r="R21" i="20"/>
  <c r="Q21" i="20"/>
  <c r="E64" i="17"/>
  <c r="R63" i="12"/>
  <c r="R15" i="18"/>
  <c r="V15" i="18" s="1"/>
  <c r="G60" i="12"/>
  <c r="AL60" i="12" s="1"/>
  <c r="BE61" i="6"/>
  <c r="AL64" i="6"/>
  <c r="J31" i="18"/>
  <c r="AJ58" i="12"/>
  <c r="D26" i="17"/>
  <c r="N25" i="20"/>
  <c r="AF26" i="6"/>
  <c r="I53" i="12"/>
  <c r="BG54" i="6"/>
  <c r="AE27" i="6"/>
  <c r="BD27" i="6"/>
  <c r="F26" i="12"/>
  <c r="AO27" i="6"/>
  <c r="J44" i="12"/>
  <c r="BH45" i="6"/>
  <c r="I43" i="12"/>
  <c r="BG44" i="6"/>
  <c r="BH63" i="6"/>
  <c r="J62" i="12"/>
  <c r="AF34" i="6"/>
  <c r="D34" i="17"/>
  <c r="N6" i="18" s="1"/>
  <c r="R6" i="18" s="1"/>
  <c r="V6" i="18" s="1"/>
  <c r="N33" i="20"/>
  <c r="AL66" i="6"/>
  <c r="AD35" i="12"/>
  <c r="AG35" i="12" s="1"/>
  <c r="BH21" i="6"/>
  <c r="J20" i="12"/>
  <c r="R31" i="18"/>
  <c r="J28" i="18"/>
  <c r="AJ55" i="12"/>
  <c r="BB15" i="6"/>
  <c r="D14" i="12"/>
  <c r="AK14" i="12" s="1"/>
  <c r="J51" i="12"/>
  <c r="BH52" i="6"/>
  <c r="I55" i="12"/>
  <c r="BG56" i="6"/>
  <c r="G62" i="12"/>
  <c r="AL62" i="12" s="1"/>
  <c r="BE63" i="6"/>
  <c r="AE17" i="12"/>
  <c r="I20" i="12"/>
  <c r="BG21" i="6"/>
  <c r="J60" i="12"/>
  <c r="BH61" i="6"/>
  <c r="J63" i="12"/>
  <c r="BH64" i="6"/>
  <c r="J58" i="12"/>
  <c r="BH59" i="6"/>
  <c r="J25" i="12"/>
  <c r="BH26" i="6"/>
  <c r="AI54" i="6"/>
  <c r="BC54" i="6"/>
  <c r="E53" i="12"/>
  <c r="AL45" i="6"/>
  <c r="J33" i="12"/>
  <c r="BH34" i="6"/>
  <c r="AF66" i="6"/>
  <c r="D66" i="17"/>
  <c r="R21" i="12"/>
  <c r="AE21" i="12" s="1"/>
  <c r="E22" i="17"/>
  <c r="G42" i="12"/>
  <c r="AL42" i="12" s="1"/>
  <c r="BE43" i="6"/>
  <c r="G37" i="12"/>
  <c r="AL37" i="12" s="1"/>
  <c r="AD37" i="12" s="1"/>
  <c r="AG37" i="12" s="1"/>
  <c r="BE38" i="6"/>
  <c r="AI59" i="6"/>
  <c r="E58" i="12"/>
  <c r="BC59" i="6"/>
  <c r="G48" i="12"/>
  <c r="AL48" i="12" s="1"/>
  <c r="AD48" i="12" s="1"/>
  <c r="AG48" i="12" s="1"/>
  <c r="BE49" i="6"/>
  <c r="R53" i="12"/>
  <c r="AE53" i="12" s="1"/>
  <c r="E54" i="17"/>
  <c r="E60" i="17"/>
  <c r="R59" i="12"/>
  <c r="AE59" i="12" s="1"/>
  <c r="J18" i="12"/>
  <c r="BH19" i="6"/>
  <c r="AL21" i="6"/>
  <c r="I60" i="12"/>
  <c r="BG61" i="6"/>
  <c r="G50" i="12"/>
  <c r="AL50" i="12" s="1"/>
  <c r="BE51" i="6"/>
  <c r="D43" i="12"/>
  <c r="AK43" i="12" s="1"/>
  <c r="BB44" i="6"/>
  <c r="G45" i="12"/>
  <c r="AL45" i="12" s="1"/>
  <c r="AD45" i="12" s="1"/>
  <c r="AG45" i="12" s="1"/>
  <c r="BE46" i="6"/>
  <c r="AJ30" i="12"/>
  <c r="AL23" i="6"/>
  <c r="I44" i="12"/>
  <c r="BG45" i="6"/>
  <c r="J43" i="12"/>
  <c r="BH44" i="6"/>
  <c r="AL8" i="6"/>
  <c r="AG56" i="12"/>
  <c r="BB7" i="6"/>
  <c r="D6" i="12"/>
  <c r="AK6" i="12" s="1"/>
  <c r="J55" i="12"/>
  <c r="BH56" i="6"/>
  <c r="AJ19" i="12"/>
  <c r="AJ7" i="12"/>
  <c r="J46" i="12"/>
  <c r="BH47" i="6"/>
  <c r="BG19" i="6"/>
  <c r="I18" i="12"/>
  <c r="AJ20" i="12"/>
  <c r="R57" i="12"/>
  <c r="E58" i="17"/>
  <c r="E35" i="17"/>
  <c r="R34" i="12"/>
  <c r="AE34" i="12" s="1"/>
  <c r="AF31" i="6"/>
  <c r="D31" i="17"/>
  <c r="N30" i="20"/>
  <c r="F5" i="19"/>
  <c r="AB6" i="12"/>
  <c r="BB16" i="6"/>
  <c r="D15" i="12"/>
  <c r="AK15" i="12" s="1"/>
  <c r="AL20" i="6"/>
  <c r="AJ44" i="12"/>
  <c r="J17" i="18"/>
  <c r="J16" i="18"/>
  <c r="R16" i="18" s="1"/>
  <c r="AJ43" i="12"/>
  <c r="AE43" i="12" s="1"/>
  <c r="AF8" i="6"/>
  <c r="D8" i="17"/>
  <c r="N7" i="20"/>
  <c r="AL47" i="6"/>
  <c r="E51" i="17"/>
  <c r="R50" i="12"/>
  <c r="AE50" i="12" s="1"/>
  <c r="V31" i="18" l="1"/>
  <c r="V16" i="18"/>
  <c r="R24" i="18"/>
  <c r="V24" i="18" s="1"/>
  <c r="AG47" i="12"/>
  <c r="AE19" i="12"/>
  <c r="AD42" i="12"/>
  <c r="AG42" i="12" s="1"/>
  <c r="AD60" i="12"/>
  <c r="Q18" i="20"/>
  <c r="R18" i="20"/>
  <c r="C25" i="5"/>
  <c r="B26" i="5"/>
  <c r="Z26" i="6"/>
  <c r="R30" i="12"/>
  <c r="AE30" i="12" s="1"/>
  <c r="E31" i="17"/>
  <c r="V17" i="8"/>
  <c r="AJ25" i="6"/>
  <c r="AA25" i="6"/>
  <c r="AN25" i="6" s="1"/>
  <c r="AI24" i="6"/>
  <c r="BC24" i="6"/>
  <c r="E23" i="12"/>
  <c r="AD50" i="12"/>
  <c r="AG50" i="12" s="1"/>
  <c r="R25" i="12"/>
  <c r="AE25" i="12" s="1"/>
  <c r="E26" i="17"/>
  <c r="BG24" i="6"/>
  <c r="I23" i="12"/>
  <c r="AL24" i="6"/>
  <c r="J32" i="12"/>
  <c r="BH33" i="6"/>
  <c r="Q30" i="20"/>
  <c r="R30" i="20"/>
  <c r="E34" i="17"/>
  <c r="R33" i="12"/>
  <c r="AE33" i="12" s="1"/>
  <c r="R25" i="20"/>
  <c r="Q25" i="20"/>
  <c r="E52" i="17"/>
  <c r="R51" i="12"/>
  <c r="AE51" i="12" s="1"/>
  <c r="J5" i="18"/>
  <c r="AJ32" i="12"/>
  <c r="D27" i="17"/>
  <c r="AF27" i="6"/>
  <c r="N26" i="20"/>
  <c r="BE47" i="6"/>
  <c r="G46" i="12"/>
  <c r="AL46" i="12" s="1"/>
  <c r="E66" i="17"/>
  <c r="R65" i="12"/>
  <c r="AD59" i="12"/>
  <c r="AG59" i="12" s="1"/>
  <c r="D33" i="17"/>
  <c r="N5" i="18" s="1"/>
  <c r="R5" i="18" s="1"/>
  <c r="V5" i="18" s="1"/>
  <c r="N32" i="20"/>
  <c r="AF33" i="6"/>
  <c r="R7" i="20"/>
  <c r="Q7" i="20"/>
  <c r="AD57" i="12"/>
  <c r="AE57" i="12"/>
  <c r="BB59" i="6"/>
  <c r="D58" i="12"/>
  <c r="AK58" i="12" s="1"/>
  <c r="AD58" i="12" s="1"/>
  <c r="Q19" i="20"/>
  <c r="R19" i="20"/>
  <c r="AE65" i="12"/>
  <c r="E21" i="17"/>
  <c r="R20" i="12"/>
  <c r="AE20" i="12" s="1"/>
  <c r="E8" i="17"/>
  <c r="R7" i="12"/>
  <c r="AE7" i="12" s="1"/>
  <c r="BE66" i="6"/>
  <c r="G65" i="12"/>
  <c r="AL65" i="12" s="1"/>
  <c r="E56" i="17"/>
  <c r="R55" i="12"/>
  <c r="AD55" i="12" s="1"/>
  <c r="D22" i="12"/>
  <c r="AK22" i="12" s="1"/>
  <c r="BB23" i="6"/>
  <c r="Q20" i="20"/>
  <c r="R20" i="20"/>
  <c r="AD43" i="12"/>
  <c r="AG43" i="12" s="1"/>
  <c r="BB54" i="6"/>
  <c r="D53" i="12"/>
  <c r="AK53" i="12" s="1"/>
  <c r="AD53" i="12" s="1"/>
  <c r="AG53" i="12" s="1"/>
  <c r="BE45" i="6"/>
  <c r="G44" i="12"/>
  <c r="AL44" i="12" s="1"/>
  <c r="AD34" i="12"/>
  <c r="AG34" i="12" s="1"/>
  <c r="BH27" i="6"/>
  <c r="J26" i="12"/>
  <c r="AE58" i="12"/>
  <c r="AE63" i="12"/>
  <c r="R28" i="18"/>
  <c r="V28" i="18" s="1"/>
  <c r="E45" i="17"/>
  <c r="R44" i="12"/>
  <c r="AE44" i="12" s="1"/>
  <c r="R33" i="20"/>
  <c r="Q33" i="20"/>
  <c r="AJ26" i="12"/>
  <c r="E63" i="17"/>
  <c r="R62" i="12"/>
  <c r="AD62" i="12" s="1"/>
  <c r="E47" i="17"/>
  <c r="R46" i="12"/>
  <c r="AE46" i="12" s="1"/>
  <c r="R17" i="18"/>
  <c r="V17" i="18" s="1"/>
  <c r="AE18" i="12"/>
  <c r="D26" i="5"/>
  <c r="E25" i="5"/>
  <c r="G63" i="12"/>
  <c r="AL63" i="12" s="1"/>
  <c r="AD63" i="12" s="1"/>
  <c r="BE64" i="6"/>
  <c r="W10" i="8"/>
  <c r="U11" i="8"/>
  <c r="E19" i="17"/>
  <c r="R18" i="12"/>
  <c r="AE60" i="12"/>
  <c r="R19" i="18"/>
  <c r="V19" i="18" s="1"/>
  <c r="AE62" i="12" l="1"/>
  <c r="AG60" i="12"/>
  <c r="AD51" i="12"/>
  <c r="AG51" i="12" s="1"/>
  <c r="AD44" i="12"/>
  <c r="AG44" i="12" s="1"/>
  <c r="AE55" i="12"/>
  <c r="AG55" i="12" s="1"/>
  <c r="AD65" i="12"/>
  <c r="AG65" i="12"/>
  <c r="AG63" i="12"/>
  <c r="E33" i="17"/>
  <c r="R32" i="12"/>
  <c r="AJ26" i="6"/>
  <c r="AA26" i="6"/>
  <c r="AN26" i="6" s="1"/>
  <c r="AG62" i="12"/>
  <c r="E26" i="5"/>
  <c r="D27" i="5"/>
  <c r="Q32" i="20"/>
  <c r="R32" i="20"/>
  <c r="C26" i="5"/>
  <c r="Z27" i="6"/>
  <c r="B27" i="5"/>
  <c r="Q26" i="20"/>
  <c r="R26" i="20"/>
  <c r="AE32" i="12"/>
  <c r="D23" i="12"/>
  <c r="AK23" i="12" s="1"/>
  <c r="BB24" i="6"/>
  <c r="AL25" i="6"/>
  <c r="BG25" i="6"/>
  <c r="I24" i="12"/>
  <c r="BC25" i="6"/>
  <c r="E24" i="12"/>
  <c r="AI25" i="6"/>
  <c r="U12" i="8"/>
  <c r="W11" i="8"/>
  <c r="AG57" i="12"/>
  <c r="AD46" i="12"/>
  <c r="AG46" i="12" s="1"/>
  <c r="V18" i="8"/>
  <c r="AG58" i="12"/>
  <c r="E27" i="17"/>
  <c r="R26" i="12"/>
  <c r="AE26" i="12" s="1"/>
  <c r="E27" i="5" l="1"/>
  <c r="D28" i="5"/>
  <c r="BG26" i="6"/>
  <c r="I25" i="12"/>
  <c r="AL26" i="6"/>
  <c r="U13" i="8"/>
  <c r="W12" i="8"/>
  <c r="E25" i="12"/>
  <c r="BC26" i="6"/>
  <c r="AI26" i="6"/>
  <c r="Z28" i="6"/>
  <c r="C27" i="5"/>
  <c r="B28" i="5"/>
  <c r="BB25" i="6"/>
  <c r="D24" i="12"/>
  <c r="AK24" i="12" s="1"/>
  <c r="V19" i="8"/>
  <c r="AJ27" i="6"/>
  <c r="AA27" i="6"/>
  <c r="AN27" i="6" s="1"/>
  <c r="E26" i="12" l="1"/>
  <c r="BC27" i="6"/>
  <c r="AI27" i="6"/>
  <c r="C28" i="5"/>
  <c r="Z29" i="6"/>
  <c r="B29" i="5"/>
  <c r="D25" i="12"/>
  <c r="AK25" i="12" s="1"/>
  <c r="BB26" i="6"/>
  <c r="V20" i="8"/>
  <c r="D29" i="5"/>
  <c r="E28" i="5"/>
  <c r="BG27" i="6"/>
  <c r="I26" i="12"/>
  <c r="AL27" i="6"/>
  <c r="U14" i="8"/>
  <c r="W13" i="8"/>
  <c r="AJ28" i="6"/>
  <c r="AA28" i="6"/>
  <c r="AN28" i="6" s="1"/>
  <c r="E29" i="5" l="1"/>
  <c r="D30" i="5"/>
  <c r="V21" i="8"/>
  <c r="I27" i="12"/>
  <c r="AL28" i="6"/>
  <c r="BE28" i="6" s="1"/>
  <c r="BG28" i="6"/>
  <c r="AI28" i="6"/>
  <c r="BC28" i="6"/>
  <c r="E27" i="12"/>
  <c r="B30" i="5"/>
  <c r="Z30" i="6"/>
  <c r="C29" i="5"/>
  <c r="AJ29" i="6"/>
  <c r="AA29" i="6"/>
  <c r="AN29" i="6" s="1"/>
  <c r="U15" i="8"/>
  <c r="W14" i="8"/>
  <c r="D26" i="12"/>
  <c r="AK26" i="12" s="1"/>
  <c r="BB27" i="6"/>
  <c r="D27" i="12" l="1"/>
  <c r="AK27" i="12" s="1"/>
  <c r="BB28" i="6"/>
  <c r="BG29" i="6"/>
  <c r="AL29" i="6"/>
  <c r="BE29" i="6" s="1"/>
  <c r="I28" i="12"/>
  <c r="BC29" i="6"/>
  <c r="E28" i="12"/>
  <c r="AI29" i="6"/>
  <c r="E30" i="5"/>
  <c r="D31" i="5"/>
  <c r="V22" i="8"/>
  <c r="Z31" i="6"/>
  <c r="C30" i="5"/>
  <c r="B31" i="5"/>
  <c r="G27" i="12"/>
  <c r="AL27" i="12" s="1"/>
  <c r="BF28" i="6"/>
  <c r="U16" i="8"/>
  <c r="W15" i="8"/>
  <c r="AJ30" i="6"/>
  <c r="AA30" i="6"/>
  <c r="AN30" i="6" s="1"/>
  <c r="AJ31" i="6" l="1"/>
  <c r="AA31" i="6"/>
  <c r="AN31" i="6" s="1"/>
  <c r="V23" i="8"/>
  <c r="E31" i="5"/>
  <c r="D32" i="5"/>
  <c r="U17" i="8"/>
  <c r="W16" i="8"/>
  <c r="BC30" i="6"/>
  <c r="E29" i="12"/>
  <c r="AI30" i="6"/>
  <c r="I29" i="12"/>
  <c r="AL30" i="6"/>
  <c r="BE30" i="6" s="1"/>
  <c r="BG30" i="6"/>
  <c r="D28" i="12"/>
  <c r="AK28" i="12" s="1"/>
  <c r="BB29" i="6"/>
  <c r="B27" i="8"/>
  <c r="H27" i="12"/>
  <c r="AD27" i="12"/>
  <c r="AG27" i="12" s="1"/>
  <c r="BE9" i="6"/>
  <c r="BE26" i="6"/>
  <c r="BE14" i="6"/>
  <c r="BE16" i="6"/>
  <c r="BE7" i="6"/>
  <c r="BE23" i="6"/>
  <c r="BE11" i="6"/>
  <c r="BE15" i="6"/>
  <c r="BE18" i="6"/>
  <c r="BE20" i="6"/>
  <c r="BE24" i="6"/>
  <c r="BF29" i="6"/>
  <c r="BE6" i="6"/>
  <c r="BE12" i="6"/>
  <c r="BE8" i="6"/>
  <c r="BE13" i="6"/>
  <c r="BE25" i="6"/>
  <c r="BE21" i="6"/>
  <c r="BE22" i="6"/>
  <c r="G28" i="12"/>
  <c r="AL28" i="12" s="1"/>
  <c r="AD28" i="12" s="1"/>
  <c r="AG28" i="12" s="1"/>
  <c r="BE17" i="6"/>
  <c r="BE10" i="6"/>
  <c r="BE19" i="6"/>
  <c r="BE27" i="6"/>
  <c r="B32" i="5"/>
  <c r="Z32" i="6"/>
  <c r="C31" i="5"/>
  <c r="G12" i="12" l="1"/>
  <c r="AL12" i="12" s="1"/>
  <c r="AD12" i="12" s="1"/>
  <c r="AG12" i="12" s="1"/>
  <c r="BF13" i="6"/>
  <c r="BF7" i="6"/>
  <c r="G6" i="12"/>
  <c r="AL6" i="12" s="1"/>
  <c r="AD6" i="12" s="1"/>
  <c r="AG6" i="12" s="1"/>
  <c r="G24" i="12"/>
  <c r="AL24" i="12" s="1"/>
  <c r="AD24" i="12" s="1"/>
  <c r="AG24" i="12" s="1"/>
  <c r="BF25" i="6"/>
  <c r="G5" i="12"/>
  <c r="AL5" i="12" s="1"/>
  <c r="AD5" i="12" s="1"/>
  <c r="AG5" i="12" s="1"/>
  <c r="BF6" i="6"/>
  <c r="U18" i="8"/>
  <c r="W17" i="8"/>
  <c r="G15" i="12"/>
  <c r="AL15" i="12" s="1"/>
  <c r="AD15" i="12" s="1"/>
  <c r="AG15" i="12" s="1"/>
  <c r="BF16" i="6"/>
  <c r="Z33" i="6"/>
  <c r="C32" i="5"/>
  <c r="B33" i="5"/>
  <c r="G19" i="12"/>
  <c r="AL19" i="12" s="1"/>
  <c r="AD19" i="12" s="1"/>
  <c r="AG19" i="12" s="1"/>
  <c r="BF20" i="6"/>
  <c r="E32" i="5"/>
  <c r="D33" i="5"/>
  <c r="E33" i="5" s="1"/>
  <c r="E30" i="12"/>
  <c r="AI31" i="6"/>
  <c r="BC31" i="6"/>
  <c r="G13" i="12"/>
  <c r="AL13" i="12" s="1"/>
  <c r="AD13" i="12" s="1"/>
  <c r="AG13" i="12" s="1"/>
  <c r="BF14" i="6"/>
  <c r="BF9" i="6"/>
  <c r="G8" i="12"/>
  <c r="AL8" i="12" s="1"/>
  <c r="AD8" i="12" s="1"/>
  <c r="AG8" i="12" s="1"/>
  <c r="G9" i="12"/>
  <c r="AL9" i="12" s="1"/>
  <c r="AD9" i="12" s="1"/>
  <c r="AG9" i="12" s="1"/>
  <c r="BF10" i="6"/>
  <c r="BF18" i="6"/>
  <c r="G17" i="12"/>
  <c r="AL17" i="12" s="1"/>
  <c r="AD17" i="12" s="1"/>
  <c r="AG17" i="12" s="1"/>
  <c r="D29" i="12"/>
  <c r="AK29" i="12" s="1"/>
  <c r="BB30" i="6"/>
  <c r="AA32" i="6"/>
  <c r="AN32" i="6" s="1"/>
  <c r="AJ32" i="6"/>
  <c r="G25" i="12"/>
  <c r="AL25" i="12" s="1"/>
  <c r="AD25" i="12" s="1"/>
  <c r="AG25" i="12" s="1"/>
  <c r="BF26" i="6"/>
  <c r="B28" i="8"/>
  <c r="H28" i="12"/>
  <c r="G18" i="12"/>
  <c r="AL18" i="12" s="1"/>
  <c r="AD18" i="12" s="1"/>
  <c r="AG18" i="12" s="1"/>
  <c r="BF19" i="6"/>
  <c r="G14" i="12"/>
  <c r="AL14" i="12" s="1"/>
  <c r="AD14" i="12" s="1"/>
  <c r="AG14" i="12" s="1"/>
  <c r="BF15" i="6"/>
  <c r="V24" i="8"/>
  <c r="G7" i="12"/>
  <c r="AL7" i="12" s="1"/>
  <c r="AD7" i="12" s="1"/>
  <c r="AG7" i="12" s="1"/>
  <c r="BF8" i="6"/>
  <c r="G11" i="12"/>
  <c r="AL11" i="12" s="1"/>
  <c r="AD11" i="12" s="1"/>
  <c r="AG11" i="12" s="1"/>
  <c r="BF12" i="6"/>
  <c r="G26" i="12"/>
  <c r="AL26" i="12" s="1"/>
  <c r="AD26" i="12" s="1"/>
  <c r="AG26" i="12" s="1"/>
  <c r="BF27" i="6"/>
  <c r="BF24" i="6"/>
  <c r="G23" i="12"/>
  <c r="AL23" i="12" s="1"/>
  <c r="AD23" i="12" s="1"/>
  <c r="AG23" i="12" s="1"/>
  <c r="G10" i="12"/>
  <c r="AL10" i="12" s="1"/>
  <c r="AD10" i="12" s="1"/>
  <c r="AG10" i="12" s="1"/>
  <c r="BF11" i="6"/>
  <c r="G16" i="12"/>
  <c r="AL16" i="12" s="1"/>
  <c r="AD16" i="12" s="1"/>
  <c r="AG16" i="12" s="1"/>
  <c r="BF17" i="6"/>
  <c r="BJ17" i="6"/>
  <c r="G21" i="12"/>
  <c r="AL21" i="12" s="1"/>
  <c r="AD21" i="12" s="1"/>
  <c r="AG21" i="12" s="1"/>
  <c r="BF22" i="6"/>
  <c r="G20" i="12"/>
  <c r="AL20" i="12" s="1"/>
  <c r="AD20" i="12" s="1"/>
  <c r="AG20" i="12" s="1"/>
  <c r="BF21" i="6"/>
  <c r="BF23" i="6"/>
  <c r="G22" i="12"/>
  <c r="AL22" i="12" s="1"/>
  <c r="AD22" i="12" s="1"/>
  <c r="AG22" i="12" s="1"/>
  <c r="G29" i="12"/>
  <c r="AL29" i="12" s="1"/>
  <c r="BF30" i="6"/>
  <c r="BG31" i="6"/>
  <c r="I30" i="12"/>
  <c r="AL31" i="6"/>
  <c r="BE31" i="6" s="1"/>
  <c r="B5" i="8" l="1"/>
  <c r="C5" i="8" s="1"/>
  <c r="H5" i="12"/>
  <c r="B7" i="8"/>
  <c r="H7" i="12"/>
  <c r="G30" i="12"/>
  <c r="AL30" i="12" s="1"/>
  <c r="BF31" i="6"/>
  <c r="H14" i="12"/>
  <c r="B14" i="8"/>
  <c r="B16" i="8"/>
  <c r="H16" i="12"/>
  <c r="B17" i="8"/>
  <c r="H17" i="12"/>
  <c r="B19" i="8"/>
  <c r="H19" i="12"/>
  <c r="B24" i="8"/>
  <c r="H24" i="12"/>
  <c r="U19" i="8"/>
  <c r="W18" i="8"/>
  <c r="AD29" i="12"/>
  <c r="AG29" i="12" s="1"/>
  <c r="B18" i="8"/>
  <c r="H18" i="12"/>
  <c r="H9" i="12"/>
  <c r="B9" i="8"/>
  <c r="C33" i="5"/>
  <c r="Z34" i="6"/>
  <c r="H22" i="12"/>
  <c r="B22" i="8"/>
  <c r="H26" i="12"/>
  <c r="B26" i="8"/>
  <c r="H6" i="12"/>
  <c r="B6" i="8"/>
  <c r="C7" i="8" s="1"/>
  <c r="E31" i="12"/>
  <c r="AI32" i="6"/>
  <c r="BC32" i="6"/>
  <c r="D30" i="12"/>
  <c r="AK30" i="12" s="1"/>
  <c r="BB31" i="6"/>
  <c r="B29" i="8"/>
  <c r="H29" i="12"/>
  <c r="B23" i="8"/>
  <c r="H23" i="12"/>
  <c r="B20" i="8"/>
  <c r="H20" i="12"/>
  <c r="B8" i="8"/>
  <c r="H8" i="12"/>
  <c r="AA33" i="6"/>
  <c r="AN33" i="6" s="1"/>
  <c r="AJ33" i="6"/>
  <c r="H12" i="12"/>
  <c r="B12" i="8"/>
  <c r="H10" i="12"/>
  <c r="B10" i="8"/>
  <c r="H11" i="12"/>
  <c r="B11" i="8"/>
  <c r="B25" i="8"/>
  <c r="H25" i="12"/>
  <c r="B13" i="8"/>
  <c r="H13" i="12"/>
  <c r="B15" i="8"/>
  <c r="H15" i="12"/>
  <c r="I31" i="12"/>
  <c r="AL32" i="6"/>
  <c r="BE32" i="6" s="1"/>
  <c r="BG32" i="6"/>
  <c r="V25" i="8"/>
  <c r="B21" i="8"/>
  <c r="H21" i="12"/>
  <c r="AD30" i="12" l="1"/>
  <c r="AG30" i="12" s="1"/>
  <c r="H30" i="12"/>
  <c r="B30" i="8"/>
  <c r="I32" i="12"/>
  <c r="BG33" i="6"/>
  <c r="AL33" i="6"/>
  <c r="BE33" i="6" s="1"/>
  <c r="BB32" i="6"/>
  <c r="D31" i="12"/>
  <c r="AK31" i="12" s="1"/>
  <c r="AS8" i="6"/>
  <c r="N7" i="12" s="1"/>
  <c r="C8" i="8"/>
  <c r="D7" i="8"/>
  <c r="AT8" i="6" s="1"/>
  <c r="O7" i="12" s="1"/>
  <c r="U20" i="8"/>
  <c r="W19" i="8"/>
  <c r="AA34" i="6"/>
  <c r="AN34" i="6" s="1"/>
  <c r="AJ34" i="6"/>
  <c r="BC33" i="6"/>
  <c r="E32" i="12"/>
  <c r="AI33" i="6"/>
  <c r="V26" i="8"/>
  <c r="BF32" i="6"/>
  <c r="G31" i="12"/>
  <c r="AL31" i="12" s="1"/>
  <c r="AD31" i="12" s="1"/>
  <c r="AG31" i="12" s="1"/>
  <c r="AS6" i="6"/>
  <c r="N5" i="12" s="1"/>
  <c r="D5" i="8"/>
  <c r="AT6" i="6" s="1"/>
  <c r="O5" i="12" s="1"/>
  <c r="BG34" i="6" l="1"/>
  <c r="I33" i="12"/>
  <c r="AL34" i="6"/>
  <c r="B31" i="8"/>
  <c r="H31" i="12"/>
  <c r="E7" i="8"/>
  <c r="AU8" i="6" s="1"/>
  <c r="P7" i="12" s="1"/>
  <c r="AC7" i="12" s="1"/>
  <c r="D32" i="12"/>
  <c r="AK32" i="12" s="1"/>
  <c r="BB33" i="6"/>
  <c r="F4" i="19"/>
  <c r="AB5" i="12"/>
  <c r="E8" i="8"/>
  <c r="AU9" i="6" s="1"/>
  <c r="P8" i="12" s="1"/>
  <c r="AC8" i="12" s="1"/>
  <c r="AS9" i="6"/>
  <c r="N8" i="12" s="1"/>
  <c r="C9" i="8"/>
  <c r="D8" i="8"/>
  <c r="AT9" i="6" s="1"/>
  <c r="O8" i="12" s="1"/>
  <c r="V27" i="8"/>
  <c r="G32" i="12"/>
  <c r="AL32" i="12" s="1"/>
  <c r="BF33" i="6"/>
  <c r="F6" i="19"/>
  <c r="AB7" i="12"/>
  <c r="BC34" i="6"/>
  <c r="E33" i="12"/>
  <c r="AI34" i="6"/>
  <c r="E5" i="8"/>
  <c r="AU6" i="6" s="1"/>
  <c r="P5" i="12" s="1"/>
  <c r="AC5" i="12" s="1"/>
  <c r="U21" i="8"/>
  <c r="W20" i="8"/>
  <c r="B32" i="8" l="1"/>
  <c r="H32" i="12"/>
  <c r="AD32" i="12"/>
  <c r="AG32" i="12" s="1"/>
  <c r="V28" i="8"/>
  <c r="G33" i="12"/>
  <c r="AL33" i="12" s="1"/>
  <c r="BE34" i="6"/>
  <c r="D33" i="12"/>
  <c r="AK33" i="12" s="1"/>
  <c r="BB34" i="6"/>
  <c r="F7" i="19"/>
  <c r="AB8" i="12"/>
  <c r="U22" i="8"/>
  <c r="W21" i="8"/>
  <c r="AS10" i="6"/>
  <c r="N9" i="12" s="1"/>
  <c r="C10" i="8"/>
  <c r="D9" i="8"/>
  <c r="AT10" i="6" s="1"/>
  <c r="O9" i="12" s="1"/>
  <c r="AB9" i="12" l="1"/>
  <c r="F8" i="19"/>
  <c r="E9" i="8"/>
  <c r="AU10" i="6" s="1"/>
  <c r="P9" i="12" s="1"/>
  <c r="AC9" i="12" s="1"/>
  <c r="V29" i="8"/>
  <c r="AD33" i="12"/>
  <c r="AG33" i="12" s="1"/>
  <c r="AS11" i="6"/>
  <c r="N10" i="12" s="1"/>
  <c r="C11" i="8"/>
  <c r="D10" i="8"/>
  <c r="AT11" i="6" s="1"/>
  <c r="O10" i="12" s="1"/>
  <c r="U23" i="8"/>
  <c r="W22" i="8"/>
  <c r="F9" i="19" l="1"/>
  <c r="AB10" i="12"/>
  <c r="C12" i="8"/>
  <c r="AS12" i="6"/>
  <c r="N11" i="12" s="1"/>
  <c r="E11" i="8"/>
  <c r="AU12" i="6" s="1"/>
  <c r="P11" i="12" s="1"/>
  <c r="AC11" i="12" s="1"/>
  <c r="D11" i="8"/>
  <c r="AT12" i="6" s="1"/>
  <c r="O11" i="12" s="1"/>
  <c r="U24" i="8"/>
  <c r="W23" i="8"/>
  <c r="E10" i="8"/>
  <c r="AU11" i="6" s="1"/>
  <c r="P10" i="12" s="1"/>
  <c r="AC10" i="12" s="1"/>
  <c r="V30" i="8"/>
  <c r="U25" i="8" l="1"/>
  <c r="W24" i="8"/>
  <c r="C13" i="8"/>
  <c r="AS13" i="6"/>
  <c r="N12" i="12" s="1"/>
  <c r="D12" i="8"/>
  <c r="AT13" i="6" s="1"/>
  <c r="O12" i="12" s="1"/>
  <c r="V31" i="8"/>
  <c r="F10" i="19"/>
  <c r="AB11" i="12"/>
  <c r="V32" i="8" l="1"/>
  <c r="AB12" i="12"/>
  <c r="F11" i="19"/>
  <c r="E12" i="8"/>
  <c r="AU13" i="6" s="1"/>
  <c r="P12" i="12" s="1"/>
  <c r="AC12" i="12" s="1"/>
  <c r="C14" i="8"/>
  <c r="AS14" i="6"/>
  <c r="N13" i="12" s="1"/>
  <c r="D13" i="8"/>
  <c r="AT14" i="6" s="1"/>
  <c r="O13" i="12" s="1"/>
  <c r="U26" i="8"/>
  <c r="W25" i="8"/>
  <c r="U27" i="8" l="1"/>
  <c r="W26" i="8"/>
  <c r="F12" i="19"/>
  <c r="AB13" i="12"/>
  <c r="E13" i="8"/>
  <c r="AU14" i="6" s="1"/>
  <c r="P13" i="12" s="1"/>
  <c r="AC13" i="12" s="1"/>
  <c r="V33" i="8"/>
  <c r="C15" i="8"/>
  <c r="AS15" i="6"/>
  <c r="N14" i="12" s="1"/>
  <c r="D14" i="8"/>
  <c r="AT15" i="6" s="1"/>
  <c r="O14" i="12" s="1"/>
  <c r="E14" i="8" l="1"/>
  <c r="AU15" i="6" s="1"/>
  <c r="P14" i="12" s="1"/>
  <c r="AC14" i="12" s="1"/>
  <c r="AB14" i="12"/>
  <c r="F13" i="19"/>
  <c r="C16" i="8"/>
  <c r="AS16" i="6"/>
  <c r="N15" i="12" s="1"/>
  <c r="D15" i="8"/>
  <c r="AT16" i="6" s="1"/>
  <c r="O15" i="12" s="1"/>
  <c r="U28" i="8"/>
  <c r="W27" i="8"/>
  <c r="V34" i="8"/>
  <c r="U29" i="8" l="1"/>
  <c r="W28" i="8"/>
  <c r="AS17" i="6"/>
  <c r="N16" i="12" s="1"/>
  <c r="C17" i="8"/>
  <c r="D16" i="8"/>
  <c r="AT17" i="6" s="1"/>
  <c r="O16" i="12" s="1"/>
  <c r="F14" i="19"/>
  <c r="AB15" i="12"/>
  <c r="E15" i="8"/>
  <c r="AU16" i="6" s="1"/>
  <c r="P15" i="12" s="1"/>
  <c r="AC15" i="12" s="1"/>
  <c r="V35" i="8"/>
  <c r="F15" i="19" l="1"/>
  <c r="AB16" i="12"/>
  <c r="V36" i="8"/>
  <c r="AS18" i="6"/>
  <c r="N17" i="12" s="1"/>
  <c r="C18" i="8"/>
  <c r="D17" i="8"/>
  <c r="AT18" i="6" s="1"/>
  <c r="O17" i="12" s="1"/>
  <c r="U30" i="8"/>
  <c r="W29" i="8"/>
  <c r="E16" i="8"/>
  <c r="AU17" i="6" s="1"/>
  <c r="P16" i="12" s="1"/>
  <c r="AC16" i="12" s="1"/>
  <c r="V37" i="8" l="1"/>
  <c r="F16" i="19"/>
  <c r="AB17" i="12"/>
  <c r="AS19" i="6"/>
  <c r="N18" i="12" s="1"/>
  <c r="C19" i="8"/>
  <c r="D18" i="8"/>
  <c r="AT19" i="6" s="1"/>
  <c r="O18" i="12" s="1"/>
  <c r="U31" i="8"/>
  <c r="W30" i="8"/>
  <c r="E17" i="8"/>
  <c r="AU18" i="6" s="1"/>
  <c r="P17" i="12" s="1"/>
  <c r="AC17" i="12" s="1"/>
  <c r="U32" i="8" l="1"/>
  <c r="W31" i="8"/>
  <c r="AS20" i="6"/>
  <c r="N19" i="12" s="1"/>
  <c r="C20" i="8"/>
  <c r="D19" i="8"/>
  <c r="AT20" i="6" s="1"/>
  <c r="O19" i="12" s="1"/>
  <c r="E18" i="8"/>
  <c r="AU19" i="6" s="1"/>
  <c r="P18" i="12" s="1"/>
  <c r="AC18" i="12" s="1"/>
  <c r="F17" i="19"/>
  <c r="AB18" i="12"/>
  <c r="E19" i="8" l="1"/>
  <c r="AU20" i="6" s="1"/>
  <c r="P19" i="12" s="1"/>
  <c r="AC19" i="12" s="1"/>
  <c r="F18" i="19"/>
  <c r="AB19" i="12"/>
  <c r="AS21" i="6"/>
  <c r="N20" i="12" s="1"/>
  <c r="C21" i="8"/>
  <c r="D20" i="8"/>
  <c r="AT21" i="6" s="1"/>
  <c r="O20" i="12" s="1"/>
  <c r="U33" i="8"/>
  <c r="W32" i="8"/>
  <c r="F19" i="19" l="1"/>
  <c r="AB20" i="12"/>
  <c r="U34" i="8"/>
  <c r="W33" i="8"/>
  <c r="E20" i="8"/>
  <c r="AU21" i="6" s="1"/>
  <c r="P20" i="12" s="1"/>
  <c r="AC20" i="12" s="1"/>
  <c r="AS22" i="6"/>
  <c r="N21" i="12" s="1"/>
  <c r="C22" i="8"/>
  <c r="D21" i="8"/>
  <c r="AT22" i="6" s="1"/>
  <c r="O21" i="12" s="1"/>
  <c r="E21" i="8" l="1"/>
  <c r="AU22" i="6" s="1"/>
  <c r="P21" i="12" s="1"/>
  <c r="AC21" i="12" s="1"/>
  <c r="C23" i="8"/>
  <c r="AS23" i="6"/>
  <c r="N22" i="12" s="1"/>
  <c r="D22" i="8"/>
  <c r="AT23" i="6" s="1"/>
  <c r="O22" i="12" s="1"/>
  <c r="U35" i="8"/>
  <c r="W34" i="8"/>
  <c r="F20" i="19"/>
  <c r="AB21" i="12"/>
  <c r="AB22" i="12" l="1"/>
  <c r="F21" i="19"/>
  <c r="U36" i="8"/>
  <c r="W35" i="8"/>
  <c r="E22" i="8"/>
  <c r="AU23" i="6" s="1"/>
  <c r="P22" i="12" s="1"/>
  <c r="AC22" i="12" s="1"/>
  <c r="AS24" i="6"/>
  <c r="N23" i="12" s="1"/>
  <c r="C24" i="8"/>
  <c r="D23" i="8"/>
  <c r="AT24" i="6" s="1"/>
  <c r="O23" i="12" s="1"/>
  <c r="F22" i="19" l="1"/>
  <c r="AB23" i="12"/>
  <c r="E23" i="8"/>
  <c r="AU24" i="6" s="1"/>
  <c r="P23" i="12" s="1"/>
  <c r="AC23" i="12" s="1"/>
  <c r="AS25" i="6"/>
  <c r="N24" i="12" s="1"/>
  <c r="C25" i="8"/>
  <c r="D24" i="8"/>
  <c r="AT25" i="6" s="1"/>
  <c r="O24" i="12" s="1"/>
  <c r="U37" i="8"/>
  <c r="W37" i="8" s="1"/>
  <c r="W36" i="8"/>
  <c r="F23" i="19" l="1"/>
  <c r="AB24" i="12"/>
  <c r="C26" i="8"/>
  <c r="AS26" i="6"/>
  <c r="N25" i="12" s="1"/>
  <c r="D25" i="8"/>
  <c r="AT26" i="6" s="1"/>
  <c r="O25" i="12" s="1"/>
  <c r="E24" i="8"/>
  <c r="AU25" i="6" s="1"/>
  <c r="P24" i="12" s="1"/>
  <c r="AC24" i="12" s="1"/>
  <c r="F24" i="19" l="1"/>
  <c r="AB25" i="12"/>
  <c r="C27" i="8"/>
  <c r="AS27" i="6"/>
  <c r="N26" i="12" s="1"/>
  <c r="D26" i="8"/>
  <c r="E25" i="8"/>
  <c r="AU26" i="6" s="1"/>
  <c r="P25" i="12" s="1"/>
  <c r="AC25" i="12" s="1"/>
  <c r="F24" i="8" l="1"/>
  <c r="AT27" i="6"/>
  <c r="O26" i="12" s="1"/>
  <c r="E26" i="8"/>
  <c r="AU27" i="6" s="1"/>
  <c r="P26" i="12" s="1"/>
  <c r="AC26" i="12" s="1"/>
  <c r="AS28" i="6"/>
  <c r="N27" i="12" s="1"/>
  <c r="C28" i="8"/>
  <c r="AS29" i="6" l="1"/>
  <c r="N28" i="12" s="1"/>
  <c r="C29" i="8"/>
  <c r="AB26" i="12"/>
  <c r="F25" i="19"/>
  <c r="C30" i="8" l="1"/>
  <c r="AS30" i="6"/>
  <c r="N29" i="12" s="1"/>
  <c r="AS31" i="6" l="1"/>
  <c r="N30" i="12" s="1"/>
  <c r="C31" i="8"/>
  <c r="D31" i="8" l="1"/>
  <c r="E31" i="8" s="1"/>
  <c r="AU32" i="6" s="1"/>
  <c r="AS32" i="6"/>
  <c r="N31" i="12" s="1"/>
  <c r="C32" i="8"/>
  <c r="P31" i="12" l="1"/>
  <c r="D32" i="8"/>
  <c r="AT33" i="6" s="1"/>
  <c r="O32" i="12" s="1"/>
  <c r="AS33" i="6"/>
  <c r="N32" i="12" s="1"/>
  <c r="C33" i="8"/>
  <c r="E32" i="8"/>
  <c r="AU33" i="6" s="1"/>
  <c r="AT32" i="6"/>
  <c r="O31" i="12" s="1"/>
  <c r="F29" i="8"/>
  <c r="F25" i="8" s="1"/>
  <c r="F26" i="8" l="1"/>
  <c r="D27" i="8"/>
  <c r="AC31" i="12"/>
  <c r="P32" i="12"/>
  <c r="F31" i="19"/>
  <c r="AB32" i="12"/>
  <c r="F30" i="19"/>
  <c r="AB31" i="12"/>
  <c r="C34" i="8"/>
  <c r="D33" i="8"/>
  <c r="AT34" i="6" s="1"/>
  <c r="O33" i="12" s="1"/>
  <c r="AS34" i="6"/>
  <c r="N33" i="12" s="1"/>
  <c r="E33" i="8"/>
  <c r="AU34" i="6" s="1"/>
  <c r="D34" i="8" l="1"/>
  <c r="AT35" i="6" s="1"/>
  <c r="O34" i="12" s="1"/>
  <c r="AB34" i="12" s="1"/>
  <c r="C35" i="8"/>
  <c r="AS35" i="6"/>
  <c r="N34" i="12" s="1"/>
  <c r="P33" i="12"/>
  <c r="AT28" i="6"/>
  <c r="O27" i="12" s="1"/>
  <c r="E27" i="8"/>
  <c r="AU28" i="6" s="1"/>
  <c r="P27" i="12" s="1"/>
  <c r="AC27" i="12" s="1"/>
  <c r="AC32" i="12"/>
  <c r="F32" i="19"/>
  <c r="AB33" i="12"/>
  <c r="F27" i="8"/>
  <c r="D28" i="8"/>
  <c r="F28" i="8" l="1"/>
  <c r="D30" i="8" s="1"/>
  <c r="D29" i="8"/>
  <c r="AC33" i="12"/>
  <c r="F26" i="19"/>
  <c r="AB27" i="12"/>
  <c r="AT29" i="6"/>
  <c r="O28" i="12" s="1"/>
  <c r="E28" i="8"/>
  <c r="AU29" i="6" s="1"/>
  <c r="P28" i="12" s="1"/>
  <c r="AC28" i="12" s="1"/>
  <c r="E34" i="8"/>
  <c r="AU35" i="6" s="1"/>
  <c r="AS36" i="6"/>
  <c r="N35" i="12" s="1"/>
  <c r="D35" i="8"/>
  <c r="AT36" i="6" s="1"/>
  <c r="O35" i="12" s="1"/>
  <c r="AB35" i="12" s="1"/>
  <c r="C36" i="8"/>
  <c r="E35" i="8"/>
  <c r="AU36" i="6" s="1"/>
  <c r="AB28" i="12" l="1"/>
  <c r="F27" i="19"/>
  <c r="P35" i="12"/>
  <c r="D36" i="8"/>
  <c r="AT37" i="6" s="1"/>
  <c r="O36" i="12" s="1"/>
  <c r="AB36" i="12" s="1"/>
  <c r="C37" i="8"/>
  <c r="AS37" i="6"/>
  <c r="N36" i="12" s="1"/>
  <c r="E36" i="8"/>
  <c r="AU37" i="6" s="1"/>
  <c r="AT30" i="6"/>
  <c r="O29" i="12" s="1"/>
  <c r="E29" i="8"/>
  <c r="AU30" i="6" s="1"/>
  <c r="P29" i="12" s="1"/>
  <c r="AC29" i="12" s="1"/>
  <c r="AT31" i="6"/>
  <c r="O30" i="12" s="1"/>
  <c r="E30" i="8"/>
  <c r="AU31" i="6" s="1"/>
  <c r="P34" i="12"/>
  <c r="P36" i="12" l="1"/>
  <c r="AC34" i="12"/>
  <c r="P30" i="12"/>
  <c r="AC30" i="12" s="1"/>
  <c r="E19" i="19"/>
  <c r="E4" i="19"/>
  <c r="E16" i="19"/>
  <c r="E5" i="19"/>
  <c r="E13" i="19"/>
  <c r="E10" i="19"/>
  <c r="E14" i="19"/>
  <c r="E23" i="19"/>
  <c r="E31" i="19"/>
  <c r="E27" i="19"/>
  <c r="E24" i="19"/>
  <c r="E8" i="19"/>
  <c r="E20" i="19"/>
  <c r="E28" i="19"/>
  <c r="E7" i="19"/>
  <c r="E18" i="19"/>
  <c r="E22" i="19"/>
  <c r="E15" i="19"/>
  <c r="E30" i="19"/>
  <c r="E32" i="19"/>
  <c r="E21" i="19"/>
  <c r="E17" i="19"/>
  <c r="E25" i="19"/>
  <c r="E26" i="19"/>
  <c r="E12" i="19"/>
  <c r="E11" i="19"/>
  <c r="E6" i="19"/>
  <c r="E9" i="19"/>
  <c r="E29" i="19"/>
  <c r="AB29" i="12"/>
  <c r="F28" i="19"/>
  <c r="D37" i="8"/>
  <c r="AT38" i="6" s="1"/>
  <c r="O37" i="12" s="1"/>
  <c r="AB37" i="12" s="1"/>
  <c r="AS38" i="6"/>
  <c r="N37" i="12" s="1"/>
  <c r="C38" i="8"/>
  <c r="E37" i="8"/>
  <c r="AU38" i="6" s="1"/>
  <c r="AC35" i="12"/>
  <c r="F29" i="19"/>
  <c r="AB30" i="12"/>
  <c r="P37" i="12" l="1"/>
  <c r="C39" i="8"/>
  <c r="AS39" i="6"/>
  <c r="N38" i="12" s="1"/>
  <c r="D38" i="8"/>
  <c r="AT39" i="6" s="1"/>
  <c r="O38" i="12" s="1"/>
  <c r="AB38" i="12" s="1"/>
  <c r="AC36" i="12"/>
  <c r="AC37" i="12" l="1"/>
  <c r="AS40" i="6"/>
  <c r="N39" i="12" s="1"/>
  <c r="D39" i="8"/>
  <c r="AT40" i="6" s="1"/>
  <c r="O39" i="12" s="1"/>
  <c r="AB39" i="12" s="1"/>
  <c r="C40" i="8"/>
  <c r="E39" i="8"/>
  <c r="AU40" i="6" s="1"/>
  <c r="E38" i="8"/>
  <c r="AU39" i="6" s="1"/>
  <c r="P38" i="12" l="1"/>
  <c r="P39" i="12"/>
  <c r="AS41" i="6"/>
  <c r="N40" i="12" s="1"/>
  <c r="D40" i="8"/>
  <c r="AT41" i="6" s="1"/>
  <c r="O40" i="12" s="1"/>
  <c r="AB40" i="12" s="1"/>
  <c r="C41" i="8"/>
  <c r="C42" i="8" l="1"/>
  <c r="AS42" i="6"/>
  <c r="N41" i="12" s="1"/>
  <c r="D41" i="8"/>
  <c r="AT42" i="6" s="1"/>
  <c r="O41" i="12" s="1"/>
  <c r="AB41" i="12" s="1"/>
  <c r="E40" i="8"/>
  <c r="AU41" i="6" s="1"/>
  <c r="AC39" i="12"/>
  <c r="AC38" i="12"/>
  <c r="P40" i="12" l="1"/>
  <c r="E41" i="8"/>
  <c r="AU42" i="6" s="1"/>
  <c r="C43" i="8"/>
  <c r="AS43" i="6"/>
  <c r="N42" i="12" s="1"/>
  <c r="D42" i="8"/>
  <c r="AT43" i="6" s="1"/>
  <c r="O42" i="12" s="1"/>
  <c r="AB42" i="12" s="1"/>
  <c r="E42" i="8" l="1"/>
  <c r="AU43" i="6" s="1"/>
  <c r="P41" i="12"/>
  <c r="AC40" i="12"/>
  <c r="D43" i="8"/>
  <c r="AT44" i="6" s="1"/>
  <c r="O43" i="12" s="1"/>
  <c r="AB43" i="12" s="1"/>
  <c r="C44" i="8"/>
  <c r="AS44" i="6"/>
  <c r="N43" i="12" s="1"/>
  <c r="AS45" i="6" l="1"/>
  <c r="N44" i="12" s="1"/>
  <c r="C45" i="8"/>
  <c r="D44" i="8"/>
  <c r="AT45" i="6" s="1"/>
  <c r="O44" i="12" s="1"/>
  <c r="AB44" i="12" s="1"/>
  <c r="AC41" i="12"/>
  <c r="P42" i="12"/>
  <c r="E43" i="8"/>
  <c r="AU44" i="6" s="1"/>
  <c r="AC42" i="12" l="1"/>
  <c r="E44" i="8"/>
  <c r="AU45" i="6" s="1"/>
  <c r="P43" i="12"/>
  <c r="C46" i="8"/>
  <c r="AS46" i="6"/>
  <c r="N45" i="12" s="1"/>
  <c r="D45" i="8"/>
  <c r="AT46" i="6" s="1"/>
  <c r="O45" i="12" s="1"/>
  <c r="AB45" i="12" s="1"/>
  <c r="E45" i="8"/>
  <c r="AU46" i="6" s="1"/>
  <c r="P44" i="12" l="1"/>
  <c r="C47" i="8"/>
  <c r="AS47" i="6"/>
  <c r="N46" i="12" s="1"/>
  <c r="D46" i="8"/>
  <c r="AT47" i="6" s="1"/>
  <c r="O46" i="12" s="1"/>
  <c r="AB46" i="12" s="1"/>
  <c r="AC43" i="12"/>
  <c r="P45" i="12"/>
  <c r="E46" i="8" l="1"/>
  <c r="AU47" i="6" s="1"/>
  <c r="AC44" i="12"/>
  <c r="AS48" i="6"/>
  <c r="N47" i="12" s="1"/>
  <c r="C48" i="8"/>
  <c r="D47" i="8"/>
  <c r="AT48" i="6" s="1"/>
  <c r="O47" i="12" s="1"/>
  <c r="AB47" i="12" s="1"/>
  <c r="AC45" i="12"/>
  <c r="C49" i="8" l="1"/>
  <c r="D48" i="8"/>
  <c r="AT49" i="6" s="1"/>
  <c r="O48" i="12" s="1"/>
  <c r="AB48" i="12" s="1"/>
  <c r="AS49" i="6"/>
  <c r="N48" i="12" s="1"/>
  <c r="P46" i="12"/>
  <c r="E47" i="8"/>
  <c r="AU48" i="6" s="1"/>
  <c r="AC46" i="12" l="1"/>
  <c r="C50" i="8"/>
  <c r="AS50" i="6"/>
  <c r="N49" i="12" s="1"/>
  <c r="E49" i="8"/>
  <c r="AU50" i="6" s="1"/>
  <c r="D49" i="8"/>
  <c r="AT50" i="6" s="1"/>
  <c r="O49" i="12" s="1"/>
  <c r="AB49" i="12" s="1"/>
  <c r="E48" i="8"/>
  <c r="AU49" i="6" s="1"/>
  <c r="P47" i="12"/>
  <c r="P48" i="12" l="1"/>
  <c r="AC47" i="12"/>
  <c r="P49" i="12"/>
  <c r="D50" i="8"/>
  <c r="AT51" i="6" s="1"/>
  <c r="O50" i="12" s="1"/>
  <c r="AB50" i="12" s="1"/>
  <c r="AS51" i="6"/>
  <c r="N50" i="12" s="1"/>
  <c r="C51" i="8"/>
  <c r="AC49" i="12" l="1"/>
  <c r="E50" i="8"/>
  <c r="AU51" i="6" s="1"/>
  <c r="AC48" i="12"/>
  <c r="D51" i="8"/>
  <c r="AT52" i="6" s="1"/>
  <c r="O51" i="12" s="1"/>
  <c r="AB51" i="12" s="1"/>
  <c r="E51" i="8"/>
  <c r="AU52" i="6" s="1"/>
  <c r="AS52" i="6"/>
  <c r="N51" i="12" s="1"/>
  <c r="C52" i="8"/>
  <c r="C53" i="8" l="1"/>
  <c r="D52" i="8"/>
  <c r="AT53" i="6" s="1"/>
  <c r="O52" i="12" s="1"/>
  <c r="AB52" i="12" s="1"/>
  <c r="AS53" i="6"/>
  <c r="N52" i="12" s="1"/>
  <c r="P50" i="12"/>
  <c r="P51" i="12"/>
  <c r="AC51" i="12" l="1"/>
  <c r="AC50" i="12"/>
  <c r="AS54" i="6"/>
  <c r="N53" i="12" s="1"/>
  <c r="C54" i="8"/>
  <c r="D53" i="8"/>
  <c r="AT54" i="6" s="1"/>
  <c r="O53" i="12" s="1"/>
  <c r="AB53" i="12" s="1"/>
  <c r="E53" i="8"/>
  <c r="AU54" i="6" s="1"/>
  <c r="E52" i="8"/>
  <c r="AU53" i="6" s="1"/>
  <c r="P52" i="12" l="1"/>
  <c r="P53" i="12"/>
  <c r="C55" i="8"/>
  <c r="AS55" i="6"/>
  <c r="N54" i="12" s="1"/>
  <c r="D54" i="8"/>
  <c r="AT55" i="6" s="1"/>
  <c r="O54" i="12" s="1"/>
  <c r="AB54" i="12" s="1"/>
  <c r="E54" i="8"/>
  <c r="AU55" i="6" s="1"/>
  <c r="AC53" i="12" l="1"/>
  <c r="AC52" i="12"/>
  <c r="C56" i="8"/>
  <c r="D55" i="8"/>
  <c r="AS56" i="6"/>
  <c r="N55" i="12" s="1"/>
  <c r="E55" i="8"/>
  <c r="AU56" i="6" s="1"/>
  <c r="P54" i="12"/>
  <c r="P55" i="12" l="1"/>
  <c r="E56" i="8"/>
  <c r="AU57" i="6" s="1"/>
  <c r="C57" i="8"/>
  <c r="AS57" i="6"/>
  <c r="N56" i="12" s="1"/>
  <c r="AC54" i="12"/>
  <c r="AT56" i="6"/>
  <c r="O55" i="12" s="1"/>
  <c r="AB55" i="12" s="1"/>
  <c r="D56" i="8"/>
  <c r="AS58" i="6" l="1"/>
  <c r="N57" i="12" s="1"/>
  <c r="C58" i="8"/>
  <c r="E57" i="8"/>
  <c r="AU58" i="6" s="1"/>
  <c r="D57" i="8"/>
  <c r="AT57" i="6"/>
  <c r="O56" i="12" s="1"/>
  <c r="AB56" i="12" s="1"/>
  <c r="P56" i="12"/>
  <c r="AC55" i="12"/>
  <c r="P57" i="12" l="1"/>
  <c r="AC56" i="12"/>
  <c r="AT58" i="6"/>
  <c r="O57" i="12" s="1"/>
  <c r="AB57" i="12" s="1"/>
  <c r="D58" i="8"/>
  <c r="C59" i="8"/>
  <c r="AS59" i="6"/>
  <c r="N58" i="12" s="1"/>
  <c r="AC57" i="12" l="1"/>
  <c r="D59" i="8"/>
  <c r="AT59" i="6"/>
  <c r="O58" i="12" s="1"/>
  <c r="AB58" i="12" s="1"/>
  <c r="E59" i="8"/>
  <c r="AU60" i="6" s="1"/>
  <c r="AS60" i="6"/>
  <c r="N59" i="12" s="1"/>
  <c r="C60" i="8"/>
  <c r="E58" i="8"/>
  <c r="AU59" i="6" s="1"/>
  <c r="P59" i="12" l="1"/>
  <c r="D60" i="8"/>
  <c r="AT60" i="6"/>
  <c r="O59" i="12" s="1"/>
  <c r="AB59" i="12" s="1"/>
  <c r="P58" i="12"/>
  <c r="C61" i="8"/>
  <c r="E60" i="8"/>
  <c r="AU61" i="6" s="1"/>
  <c r="AS61" i="6"/>
  <c r="N60" i="12" s="1"/>
  <c r="AC58" i="12" l="1"/>
  <c r="AC59" i="12"/>
  <c r="P60" i="12"/>
  <c r="E61" i="8"/>
  <c r="AU62" i="6" s="1"/>
  <c r="AS62" i="6"/>
  <c r="N61" i="12" s="1"/>
  <c r="C62" i="8"/>
  <c r="D61" i="8"/>
  <c r="AT61" i="6"/>
  <c r="O60" i="12" s="1"/>
  <c r="AB60" i="12" s="1"/>
  <c r="P61" i="12" l="1"/>
  <c r="AC60" i="12"/>
  <c r="AT62" i="6"/>
  <c r="O61" i="12" s="1"/>
  <c r="AB61" i="12" s="1"/>
  <c r="D62" i="8"/>
  <c r="AS63" i="6"/>
  <c r="N62" i="12" s="1"/>
  <c r="E62" i="8"/>
  <c r="AU63" i="6" s="1"/>
  <c r="C63" i="8"/>
  <c r="AC61" i="12" l="1"/>
  <c r="P62" i="12"/>
  <c r="AT63" i="6"/>
  <c r="O62" i="12" s="1"/>
  <c r="AB62" i="12" s="1"/>
  <c r="D63" i="8"/>
  <c r="C64" i="8"/>
  <c r="AS64" i="6"/>
  <c r="N63" i="12" s="1"/>
  <c r="AT64" i="6" l="1"/>
  <c r="O63" i="12" s="1"/>
  <c r="AB63" i="12" s="1"/>
  <c r="D64" i="8"/>
  <c r="AC62" i="12"/>
  <c r="C65" i="8"/>
  <c r="AS65" i="6"/>
  <c r="N64" i="12" s="1"/>
  <c r="E64" i="8"/>
  <c r="AU65" i="6" s="1"/>
  <c r="E63" i="8"/>
  <c r="AU64" i="6" s="1"/>
  <c r="P64" i="12" l="1"/>
  <c r="AS66" i="6"/>
  <c r="N65" i="12" s="1"/>
  <c r="C66" i="8"/>
  <c r="D65" i="8"/>
  <c r="AT65" i="6"/>
  <c r="O64" i="12" s="1"/>
  <c r="AB64" i="12" s="1"/>
  <c r="P63" i="12"/>
  <c r="AC63" i="12" l="1"/>
  <c r="D66" i="8"/>
  <c r="AT66" i="6"/>
  <c r="O65" i="12" s="1"/>
  <c r="AB65" i="12" s="1"/>
  <c r="E66" i="8"/>
  <c r="AS67" i="6"/>
  <c r="E65" i="8"/>
  <c r="AU66" i="6" s="1"/>
  <c r="AC64" i="12"/>
  <c r="P65" i="12" l="1"/>
  <c r="AC65" i="12" l="1"/>
</calcChain>
</file>

<file path=xl/sharedStrings.xml><?xml version="1.0" encoding="utf-8"?>
<sst xmlns="http://schemas.openxmlformats.org/spreadsheetml/2006/main" count="662" uniqueCount="299">
  <si>
    <t>year</t>
  </si>
  <si>
    <t>Population</t>
  </si>
  <si>
    <t>year-end</t>
  </si>
  <si>
    <t>Employment</t>
  </si>
  <si>
    <t>Primary</t>
  </si>
  <si>
    <t>Secondary</t>
  </si>
  <si>
    <t>Tertiary</t>
  </si>
  <si>
    <t>Total</t>
  </si>
  <si>
    <t>Consumption</t>
  </si>
  <si>
    <t>Households</t>
  </si>
  <si>
    <t>Government</t>
  </si>
  <si>
    <t>Net Exports</t>
  </si>
  <si>
    <t>Investment</t>
  </si>
  <si>
    <t>Exports</t>
  </si>
  <si>
    <t>Imports</t>
  </si>
  <si>
    <t>Balance</t>
  </si>
  <si>
    <t>YA</t>
  </si>
  <si>
    <t>GDP</t>
  </si>
  <si>
    <t>exA</t>
  </si>
  <si>
    <t>CA</t>
  </si>
  <si>
    <t>YM</t>
  </si>
  <si>
    <t>CM</t>
  </si>
  <si>
    <t>Inv</t>
  </si>
  <si>
    <t>ImM</t>
  </si>
  <si>
    <t>N</t>
  </si>
  <si>
    <t>NA</t>
  </si>
  <si>
    <t>NM</t>
  </si>
  <si>
    <t>K</t>
  </si>
  <si>
    <t>KA</t>
  </si>
  <si>
    <t>KM</t>
  </si>
  <si>
    <t>pA</t>
  </si>
  <si>
    <t>pM</t>
  </si>
  <si>
    <t>pGDP</t>
  </si>
  <si>
    <t>pA/pM</t>
  </si>
  <si>
    <t>Table A1: China's exports by commodity: SITC-R, 2-digit level, 1952-1964 (unit: 1,000 Yuan)</t>
  </si>
  <si>
    <t>Fukao, Kiyota, Yue (2006)</t>
  </si>
  <si>
    <t>China’s Long-Term International Trade Statistics: By Commodity, 1952-1964 and 1981-2000</t>
  </si>
  <si>
    <t>Live animals</t>
  </si>
  <si>
    <t>Meat and preparations</t>
  </si>
  <si>
    <t>Dairy products and eggs</t>
  </si>
  <si>
    <t>Fish and fish preparations</t>
  </si>
  <si>
    <t>Cereals and cereal preparations</t>
  </si>
  <si>
    <t>Fruit and vegetables</t>
  </si>
  <si>
    <t>Sugar sugar preparations and honey</t>
  </si>
  <si>
    <t>Coffee tea cocoa spices and manufactures thereof</t>
  </si>
  <si>
    <t>Feeding-stuff for animals (not including unmilled cereals)</t>
  </si>
  <si>
    <t>Miscellaneous food preparations</t>
  </si>
  <si>
    <t>Beverages</t>
  </si>
  <si>
    <t>Table A2: China's imports by commodity: SITC-R, 2-digit level, 1952-1964 (unit: 1,000 Yuan)</t>
  </si>
  <si>
    <t>Table A3: China's exports and imports by commodity, SITC-R1, 2-digit level, 1981-1987 (unit: 1,000 Yuan)</t>
  </si>
  <si>
    <t>Table A4: China's exports by commodity, SITC-R1, 2-digit level, 1981-2000 (unit: 1,000 US$)</t>
  </si>
  <si>
    <t>Table A5: China's imports by commodity, SITC-R1, 2-digit level, 1981－2000 (unit: 1,000 US$)</t>
  </si>
  <si>
    <t>GM</t>
  </si>
  <si>
    <t>SIPRI</t>
  </si>
  <si>
    <t>% of GNP</t>
  </si>
  <si>
    <t>Official Defense 1952-90</t>
  </si>
  <si>
    <t>Share of GNP</t>
  </si>
  <si>
    <t>GM/GDP</t>
  </si>
  <si>
    <t>ratio</t>
  </si>
  <si>
    <t>average</t>
  </si>
  <si>
    <t>Table 5</t>
  </si>
  <si>
    <t>p 820</t>
  </si>
  <si>
    <t>Capital Stock</t>
  </si>
  <si>
    <t>ESTIMATES OF CAPITAL STOCK IN FIVE SECTORS</t>
  </si>
  <si>
    <t>Agriculture</t>
  </si>
  <si>
    <t>Industry</t>
  </si>
  <si>
    <t>Construction</t>
  </si>
  <si>
    <t>Transportation</t>
  </si>
  <si>
    <t>Commerce</t>
  </si>
  <si>
    <t>Ag</t>
  </si>
  <si>
    <t>Others</t>
  </si>
  <si>
    <t>Fixed</t>
  </si>
  <si>
    <t>Accumulation by sector</t>
  </si>
  <si>
    <t>Land</t>
  </si>
  <si>
    <t>Non-Ag</t>
  </si>
  <si>
    <t>Chow (1993) Capital Formation and Economic Growth in China</t>
  </si>
  <si>
    <t>Holz (2006) p. 161, Table 20</t>
  </si>
  <si>
    <t>Gross Capital Stock, Total and by Sector, via Depreciation</t>
  </si>
  <si>
    <t>Prim.</t>
  </si>
  <si>
    <t>Holz (2006) p. 159, Table 19</t>
  </si>
  <si>
    <t>Gross Capital Stock in 2000 constant prices</t>
  </si>
  <si>
    <t>Based on Effective GFCF adjusted</t>
  </si>
  <si>
    <t>Capital accumulated, breakdown merged from Holz and Chow</t>
  </si>
  <si>
    <t>current prices</t>
  </si>
  <si>
    <t>wA/wM</t>
  </si>
  <si>
    <t>POP</t>
  </si>
  <si>
    <t>alfaA</t>
  </si>
  <si>
    <t>betA</t>
  </si>
  <si>
    <t>alfaM</t>
  </si>
  <si>
    <t>betM</t>
  </si>
  <si>
    <t>eta</t>
  </si>
  <si>
    <t>gamma</t>
  </si>
  <si>
    <t>parameters</t>
  </si>
  <si>
    <t>bet</t>
  </si>
  <si>
    <t>delt</t>
  </si>
  <si>
    <t>TFP_A</t>
  </si>
  <si>
    <t>TFP_M</t>
  </si>
  <si>
    <t>MPL_A</t>
  </si>
  <si>
    <t>MPL_M</t>
  </si>
  <si>
    <t>cA</t>
  </si>
  <si>
    <t>cM</t>
  </si>
  <si>
    <t>Primary ex fuel and raw mat</t>
  </si>
  <si>
    <t>Non-agric</t>
  </si>
  <si>
    <t>Defense</t>
  </si>
  <si>
    <t>Capital</t>
  </si>
  <si>
    <t>Units</t>
  </si>
  <si>
    <t>10000 persons</t>
  </si>
  <si>
    <t>Table 1-6</t>
  </si>
  <si>
    <t>Table 1-4</t>
  </si>
  <si>
    <t>Table 1-3</t>
  </si>
  <si>
    <t>100 million yuan</t>
  </si>
  <si>
    <t>Gross Domestic Product</t>
  </si>
  <si>
    <t>Indices of Gross Domestic Product</t>
  </si>
  <si>
    <t>year of 1952 = 100</t>
  </si>
  <si>
    <t>Table 1-9</t>
  </si>
  <si>
    <t>Source:</t>
  </si>
  <si>
    <t>Unit:</t>
  </si>
  <si>
    <t>Name</t>
  </si>
  <si>
    <t>Gross Domestic Product by Expenditure Approach</t>
  </si>
  <si>
    <t>Gross Capital Formation</t>
  </si>
  <si>
    <t>Gross Fixed Capital Formation</t>
  </si>
  <si>
    <t>Changes in Inventories</t>
  </si>
  <si>
    <t>Table 1-10</t>
  </si>
  <si>
    <t>Table 1-51</t>
  </si>
  <si>
    <t>Total Value of Exports and Imports</t>
  </si>
  <si>
    <t>"60 Years of New China", National Bureau of Statistics of China, China Statistics Press, 2009</t>
  </si>
  <si>
    <t>"China Statistical Yearbook 2013", National Bureau of Statistics of China, China Statistics Press, 2013</t>
  </si>
  <si>
    <t>Table 2-1</t>
  </si>
  <si>
    <t>Table 2-5</t>
  </si>
  <si>
    <t>year of 1978 = 100</t>
  </si>
  <si>
    <t>Table 2-18</t>
  </si>
  <si>
    <t>Table 3-1</t>
  </si>
  <si>
    <t>Table 4-3</t>
  </si>
  <si>
    <t>Table 6-3</t>
  </si>
  <si>
    <t>Net trade by sector</t>
  </si>
  <si>
    <t>Exports of Agricultural</t>
  </si>
  <si>
    <t>GDP deflator</t>
  </si>
  <si>
    <t>Agricultural deflator</t>
  </si>
  <si>
    <t>Index 1978=1</t>
  </si>
  <si>
    <t>Relative price of agric goods</t>
  </si>
  <si>
    <t>Imports of Non-Agricultural</t>
  </si>
  <si>
    <t>Non-Agric deflator</t>
  </si>
  <si>
    <t>Real GDP</t>
  </si>
  <si>
    <t>100 million 1978 yuan</t>
  </si>
  <si>
    <t>Agricultural value added</t>
  </si>
  <si>
    <t>Consumption of Agric goods</t>
  </si>
  <si>
    <t>Net Exports of Agric goods</t>
  </si>
  <si>
    <t>Non-agric value added</t>
  </si>
  <si>
    <t>Consumption of non-ag goods</t>
  </si>
  <si>
    <t>Net imports of non-agric goods</t>
  </si>
  <si>
    <t>Defense spending</t>
  </si>
  <si>
    <t>Total Employment</t>
  </si>
  <si>
    <t>Agric Employment</t>
  </si>
  <si>
    <t>Non-agric employment</t>
  </si>
  <si>
    <t>million persons</t>
  </si>
  <si>
    <t>Total capital</t>
  </si>
  <si>
    <t>Agric capital</t>
  </si>
  <si>
    <t>Non-agric capital</t>
  </si>
  <si>
    <t>Source: Authors' calculations</t>
  </si>
  <si>
    <t>Source</t>
  </si>
  <si>
    <t>"60 years of New China", "China Statistical Yearbook" 2012-2013, National Bureau of Statistics of China</t>
  </si>
  <si>
    <t>Non-ag capital</t>
  </si>
  <si>
    <t>Authors' calculations</t>
  </si>
  <si>
    <t>2000 prices</t>
  </si>
  <si>
    <t>1978 prices</t>
  </si>
  <si>
    <t>Defense Spending as Share of GDP</t>
  </si>
  <si>
    <t>Agricultural products</t>
  </si>
  <si>
    <t>Non-agricultural products</t>
  </si>
  <si>
    <t>Source: Holz (2006), Appendix 13, page 236</t>
  </si>
  <si>
    <t>100 mil US dollars</t>
  </si>
  <si>
    <t>China Statistical Yearbooks 1996-2013</t>
  </si>
  <si>
    <t>1000 yuan</t>
  </si>
  <si>
    <t>Fukao, Kiyota, Yue (2006), Summary</t>
  </si>
  <si>
    <t>1000 US Dollars</t>
  </si>
  <si>
    <t>Share of agricultural and non-agric products</t>
  </si>
  <si>
    <t>From CSY</t>
  </si>
  <si>
    <t>Value Added</t>
  </si>
  <si>
    <t>Non-agric Employment</t>
  </si>
  <si>
    <t>million prsn</t>
  </si>
  <si>
    <t>Relative wage of agric workers</t>
  </si>
  <si>
    <t>GDP per capita</t>
  </si>
  <si>
    <t>1990 USD</t>
  </si>
  <si>
    <t>GDPpc</t>
  </si>
  <si>
    <t>Wages by Sector</t>
  </si>
  <si>
    <t>Non-agriculture</t>
  </si>
  <si>
    <t>Chow 1987</t>
  </si>
  <si>
    <t>CSY, merged with Chow 1987</t>
  </si>
  <si>
    <t>Wages by Sector, yuan</t>
  </si>
  <si>
    <t>2003</t>
  </si>
  <si>
    <t>2004</t>
  </si>
  <si>
    <t>2005</t>
  </si>
  <si>
    <t>2006</t>
  </si>
  <si>
    <t>2007</t>
  </si>
  <si>
    <t>2008</t>
  </si>
  <si>
    <t>Investment in Fixed Assets in the Whole Country</t>
  </si>
  <si>
    <t>Agric Share</t>
  </si>
  <si>
    <t>Source: CSY 2013, Table 5-9</t>
  </si>
  <si>
    <t>Source: Chow 1987</t>
  </si>
  <si>
    <t>Source: CSY</t>
  </si>
  <si>
    <t>pA Young</t>
  </si>
  <si>
    <t>pM Young</t>
  </si>
  <si>
    <t>General Purchasing Price Index for Farm Products</t>
  </si>
  <si>
    <t>Ex-Factory Price Index for Industrial Products</t>
  </si>
  <si>
    <t>preceding year = 100</t>
  </si>
  <si>
    <t>Fixed base year price index</t>
  </si>
  <si>
    <t>Labor Share</t>
  </si>
  <si>
    <t>Non-Agriculture</t>
  </si>
  <si>
    <t>Value Added Share</t>
  </si>
  <si>
    <t>Formal employment in "urban units" (or "staff and workers per sector"), 10000</t>
  </si>
  <si>
    <t>CSY 96 -&gt;</t>
  </si>
  <si>
    <t>Average wages by sector</t>
  </si>
  <si>
    <t>All sectors</t>
  </si>
  <si>
    <t>CSY 83</t>
  </si>
  <si>
    <t>Price index</t>
  </si>
  <si>
    <t>Wage rate</t>
  </si>
  <si>
    <t>Implied Wage rate</t>
  </si>
  <si>
    <t>Implied Wage Gap</t>
  </si>
  <si>
    <t>Wage Gap</t>
  </si>
  <si>
    <t>Bai and Qian (2010)</t>
  </si>
  <si>
    <t>Farm Capital</t>
  </si>
  <si>
    <t>bln 1952 yuan</t>
  </si>
  <si>
    <t>bln 1978 yuan</t>
  </si>
  <si>
    <t>Agricultural Capital Stock</t>
  </si>
  <si>
    <t>Rescaled Farm Capital</t>
  </si>
  <si>
    <t>index</t>
  </si>
  <si>
    <t>Tang (1982)</t>
  </si>
  <si>
    <t>Total Expenditure and composition</t>
  </si>
  <si>
    <t>percentage</t>
  </si>
  <si>
    <t>total expenditure (0.1 billion yuan)</t>
  </si>
  <si>
    <t>resident expenditure (0.1 billion yuan)</t>
  </si>
  <si>
    <t>ag expenditure</t>
  </si>
  <si>
    <t>Non-ag expenditure</t>
  </si>
  <si>
    <t>society expenditure</t>
  </si>
  <si>
    <t>resident expenditure</t>
  </si>
  <si>
    <t>note: prices are based on the year of calculation</t>
  </si>
  <si>
    <t>NonAg price index</t>
  </si>
  <si>
    <t>Real Non-ag expenditure</t>
  </si>
  <si>
    <t>NonAg+society</t>
  </si>
  <si>
    <t>Real Non-ag expenditure extended</t>
  </si>
  <si>
    <t>Augmented with consumption from CSY</t>
  </si>
  <si>
    <t>Consumption component</t>
  </si>
  <si>
    <t>Production component</t>
  </si>
  <si>
    <t>Mobility component</t>
  </si>
  <si>
    <t>Labor Distortion</t>
  </si>
  <si>
    <t>Variables are adjusted to exclude negative investment</t>
  </si>
  <si>
    <t>Sourse: CSY 1989, Table 2-19, p 38.</t>
  </si>
  <si>
    <t>Source: SIPRI</t>
  </si>
  <si>
    <t>Source: Hsueh and Li 1995, CSY</t>
  </si>
  <si>
    <t>NaN</t>
  </si>
  <si>
    <t>money shift</t>
  </si>
  <si>
    <t>shortfall</t>
  </si>
  <si>
    <t>State inv into agric infrastructure construction</t>
  </si>
  <si>
    <t>agric output</t>
  </si>
  <si>
    <t>Sheng capitl direct evidence</t>
  </si>
  <si>
    <t>Zero tax</t>
  </si>
  <si>
    <t>Obs</t>
  </si>
  <si>
    <t>Rural grain supply</t>
  </si>
  <si>
    <t>Net procurement</t>
  </si>
  <si>
    <t>Gross re-sales to farmers</t>
  </si>
  <si>
    <t>Gross procurement</t>
  </si>
  <si>
    <t>Gross output of grain</t>
  </si>
  <si>
    <t>source: Naughton (1986) Table III-2</t>
  </si>
  <si>
    <t>SOE</t>
  </si>
  <si>
    <t>ThirdFront</t>
  </si>
  <si>
    <t>source: ZhouZhang (2000) Table 9 (2)</t>
  </si>
  <si>
    <t>source: Sheng (1993) Table 6.4</t>
  </si>
  <si>
    <t>source: Imai (2000), Table 3</t>
  </si>
  <si>
    <t>source: Ash (2006), Table 3, Table 2</t>
  </si>
  <si>
    <t>source: Author's calculations</t>
  </si>
  <si>
    <t>alfa</t>
  </si>
  <si>
    <t>beta</t>
  </si>
  <si>
    <t>AM</t>
  </si>
  <si>
    <t>InvM</t>
  </si>
  <si>
    <t>relTFP</t>
  </si>
  <si>
    <t>AW</t>
  </si>
  <si>
    <t>shinvW</t>
  </si>
  <si>
    <t>InvW</t>
  </si>
  <si>
    <t>KW</t>
  </si>
  <si>
    <t>NW</t>
  </si>
  <si>
    <t>AR</t>
  </si>
  <si>
    <t>shinvR</t>
  </si>
  <si>
    <t>InvR</t>
  </si>
  <si>
    <t>KR</t>
  </si>
  <si>
    <t>NR</t>
  </si>
  <si>
    <t>Yshare</t>
  </si>
  <si>
    <t>YY</t>
  </si>
  <si>
    <t>YY*</t>
  </si>
  <si>
    <t>TFPrel</t>
  </si>
  <si>
    <t>Loss</t>
  </si>
  <si>
    <t>Reallocation</t>
  </si>
  <si>
    <t>Reallocation + waste</t>
  </si>
  <si>
    <t>Reallocation + waste + productivity</t>
  </si>
  <si>
    <t>loss redistr</t>
  </si>
  <si>
    <t>loss waste</t>
  </si>
  <si>
    <t>loss total</t>
  </si>
  <si>
    <t>estimate of % by which state purchasing price is below ‘real value’ for agricultural products</t>
  </si>
  <si>
    <t>Price on the Free market/State List Price</t>
  </si>
  <si>
    <t xml:space="preserve">source: Sheng (1993) </t>
  </si>
  <si>
    <t>source: Niu et al. (1991),  (in Zhang and Zhao, 2000)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</si>
</sst>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>
    <font>
      <sz val="11"/>
      <color theme="1"/>
      <name val="Calibri"/>
      <family val="2"/>
      <scheme val="minor"/>
    </font>
    <font>
      <sz val="12"/>
      <name val="Courier"/>
      <family val="3"/>
    </font>
    <font>
      <sz val="12"/>
      <name val="宋体"/>
      <charset val="134"/>
    </font>
    <font>
      <sz val="10"/>
      <name val="Arial"/>
      <family val="2"/>
    </font>
    <font>
      <sz val="12"/>
      <name val="Times New Roman"/>
      <family val="1"/>
    </font>
    <font>
      <sz val="6"/>
      <color rgb="FF000000"/>
      <name val="Times New Roman"/>
      <family val="1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>
      <alignment vertical="center"/>
    </xf>
    <xf numFmtId="0" fontId="6" fillId="0" borderId="0"/>
  </cellStyleXfs>
  <cellXfs count="155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15" xfId="0" applyBorder="1"/>
    <xf numFmtId="0" fontId="0" fillId="0" borderId="1" xfId="0" applyBorder="1" applyAlignment="1">
      <alignment horizontal="right"/>
    </xf>
    <xf numFmtId="0" fontId="0" fillId="0" borderId="4" xfId="0" applyBorder="1"/>
    <xf numFmtId="164" fontId="3" fillId="0" borderId="0" xfId="2" applyNumberFormat="1" applyFont="1" applyAlignment="1">
      <alignment horizontal="right"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" xfId="0" applyBorder="1"/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65" fontId="3" fillId="0" borderId="0" xfId="2" applyNumberFormat="1" applyFont="1" applyAlignment="1">
      <alignment horizontal="center" vertical="center"/>
    </xf>
    <xf numFmtId="165" fontId="0" fillId="0" borderId="6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2" fontId="0" fillId="0" borderId="7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65" fontId="0" fillId="0" borderId="13" xfId="0" applyNumberFormat="1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2" fillId="0" borderId="0" xfId="2"/>
    <xf numFmtId="164" fontId="0" fillId="2" borderId="12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2" borderId="0" xfId="0" applyNumberFormat="1" applyFill="1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3" fillId="0" borderId="0" xfId="2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0" fontId="0" fillId="0" borderId="0" xfId="0" applyNumberFormat="1"/>
    <xf numFmtId="0" fontId="0" fillId="3" borderId="0" xfId="0" applyFill="1"/>
    <xf numFmtId="0" fontId="0" fillId="0" borderId="0" xfId="0" applyBorder="1"/>
    <xf numFmtId="164" fontId="0" fillId="0" borderId="0" xfId="0" applyNumberFormat="1" applyBorder="1"/>
    <xf numFmtId="164" fontId="0" fillId="0" borderId="8" xfId="0" applyNumberFormat="1" applyBorder="1"/>
  </cellXfs>
  <cellStyles count="6">
    <cellStyle name="Normal" xfId="0" builtinId="0"/>
    <cellStyle name="Normal 2" xfId="2" xr:uid="{00000000-0005-0000-0000-000001000000}"/>
    <cellStyle name="Normal 3" xfId="4" xr:uid="{00000000-0005-0000-0000-000002000000}"/>
    <cellStyle name="Normal 4" xfId="5" xr:uid="{00000000-0005-0000-0000-000003000000}"/>
    <cellStyle name="Style 1" xfId="3" xr:uid="{00000000-0005-0000-0000-000004000000}"/>
    <cellStyle name="常规_hanj02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Accounting Wedges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364647794131944E-2"/>
          <c:y val="8.3138898063205846E-2"/>
          <c:w val="0.88610411267123212"/>
          <c:h val="0.70019609486298495"/>
        </c:manualLayout>
      </c:layout>
      <c:scatterChart>
        <c:scatterStyle val="lineMarker"/>
        <c:varyColors val="0"/>
        <c:ser>
          <c:idx val="2"/>
          <c:order val="0"/>
          <c:tx>
            <c:strRef>
              <c:f>FinalDataCompilation!$AD$4</c:f>
              <c:strCache>
                <c:ptCount val="1"/>
                <c:pt idx="0">
                  <c:v>Consumption component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FinalDataCompilation!$AA$5:$AA$65</c:f>
              <c:numCache>
                <c:formatCode>General</c:formatCode>
                <c:ptCount val="61"/>
                <c:pt idx="0">
                  <c:v>1952</c:v>
                </c:pt>
                <c:pt idx="1">
                  <c:v>1953</c:v>
                </c:pt>
                <c:pt idx="2">
                  <c:v>1954</c:v>
                </c:pt>
                <c:pt idx="3">
                  <c:v>1955</c:v>
                </c:pt>
                <c:pt idx="4">
                  <c:v>1956</c:v>
                </c:pt>
                <c:pt idx="5">
                  <c:v>1957</c:v>
                </c:pt>
                <c:pt idx="6">
                  <c:v>1958</c:v>
                </c:pt>
                <c:pt idx="7">
                  <c:v>1959</c:v>
                </c:pt>
                <c:pt idx="8">
                  <c:v>1960</c:v>
                </c:pt>
                <c:pt idx="9">
                  <c:v>1961</c:v>
                </c:pt>
                <c:pt idx="10">
                  <c:v>1962</c:v>
                </c:pt>
                <c:pt idx="11">
                  <c:v>1963</c:v>
                </c:pt>
                <c:pt idx="12">
                  <c:v>1964</c:v>
                </c:pt>
                <c:pt idx="13">
                  <c:v>1965</c:v>
                </c:pt>
                <c:pt idx="14">
                  <c:v>1966</c:v>
                </c:pt>
                <c:pt idx="15">
                  <c:v>1967</c:v>
                </c:pt>
                <c:pt idx="16">
                  <c:v>1968</c:v>
                </c:pt>
                <c:pt idx="17">
                  <c:v>1969</c:v>
                </c:pt>
                <c:pt idx="18">
                  <c:v>1970</c:v>
                </c:pt>
                <c:pt idx="19">
                  <c:v>1971</c:v>
                </c:pt>
                <c:pt idx="20">
                  <c:v>1972</c:v>
                </c:pt>
                <c:pt idx="21">
                  <c:v>1973</c:v>
                </c:pt>
                <c:pt idx="22">
                  <c:v>1974</c:v>
                </c:pt>
                <c:pt idx="23">
                  <c:v>1975</c:v>
                </c:pt>
                <c:pt idx="24">
                  <c:v>1976</c:v>
                </c:pt>
                <c:pt idx="25">
                  <c:v>1977</c:v>
                </c:pt>
                <c:pt idx="26">
                  <c:v>1978</c:v>
                </c:pt>
                <c:pt idx="27">
                  <c:v>1979</c:v>
                </c:pt>
                <c:pt idx="28">
                  <c:v>1980</c:v>
                </c:pt>
                <c:pt idx="29">
                  <c:v>1981</c:v>
                </c:pt>
                <c:pt idx="30">
                  <c:v>1982</c:v>
                </c:pt>
                <c:pt idx="31">
                  <c:v>1983</c:v>
                </c:pt>
                <c:pt idx="32">
                  <c:v>1984</c:v>
                </c:pt>
                <c:pt idx="33">
                  <c:v>1985</c:v>
                </c:pt>
                <c:pt idx="34">
                  <c:v>1986</c:v>
                </c:pt>
                <c:pt idx="35">
                  <c:v>1987</c:v>
                </c:pt>
                <c:pt idx="36">
                  <c:v>1988</c:v>
                </c:pt>
                <c:pt idx="37">
                  <c:v>1989</c:v>
                </c:pt>
                <c:pt idx="38">
                  <c:v>1990</c:v>
                </c:pt>
                <c:pt idx="39">
                  <c:v>1991</c:v>
                </c:pt>
                <c:pt idx="40">
                  <c:v>1992</c:v>
                </c:pt>
                <c:pt idx="41">
                  <c:v>1993</c:v>
                </c:pt>
                <c:pt idx="42">
                  <c:v>1994</c:v>
                </c:pt>
                <c:pt idx="43">
                  <c:v>1995</c:v>
                </c:pt>
                <c:pt idx="44">
                  <c:v>1996</c:v>
                </c:pt>
                <c:pt idx="45">
                  <c:v>1997</c:v>
                </c:pt>
                <c:pt idx="46">
                  <c:v>1998</c:v>
                </c:pt>
                <c:pt idx="47">
                  <c:v>1999</c:v>
                </c:pt>
                <c:pt idx="48">
                  <c:v>2000</c:v>
                </c:pt>
                <c:pt idx="49">
                  <c:v>2001</c:v>
                </c:pt>
                <c:pt idx="50">
                  <c:v>2002</c:v>
                </c:pt>
                <c:pt idx="51">
                  <c:v>2003</c:v>
                </c:pt>
                <c:pt idx="52">
                  <c:v>2004</c:v>
                </c:pt>
                <c:pt idx="53">
                  <c:v>2005</c:v>
                </c:pt>
                <c:pt idx="54">
                  <c:v>2006</c:v>
                </c:pt>
                <c:pt idx="55">
                  <c:v>2007</c:v>
                </c:pt>
                <c:pt idx="56">
                  <c:v>2008</c:v>
                </c:pt>
                <c:pt idx="57">
                  <c:v>2009</c:v>
                </c:pt>
                <c:pt idx="58">
                  <c:v>2010</c:v>
                </c:pt>
                <c:pt idx="59">
                  <c:v>2011</c:v>
                </c:pt>
                <c:pt idx="60">
                  <c:v>2012</c:v>
                </c:pt>
              </c:numCache>
            </c:numRef>
          </c:xVal>
          <c:yVal>
            <c:numRef>
              <c:f>FinalDataCompilation!$AD$5:$AD$65</c:f>
              <c:numCache>
                <c:formatCode>0.00</c:formatCode>
                <c:ptCount val="61"/>
                <c:pt idx="0">
                  <c:v>3.6167288313904438</c:v>
                </c:pt>
                <c:pt idx="1">
                  <c:v>2.899279272781925</c:v>
                </c:pt>
                <c:pt idx="2">
                  <c:v>2.9016348567728456</c:v>
                </c:pt>
                <c:pt idx="3">
                  <c:v>3.1690459278174017</c:v>
                </c:pt>
                <c:pt idx="4">
                  <c:v>2.9255927567241771</c:v>
                </c:pt>
                <c:pt idx="5">
                  <c:v>2.6149098616020026</c:v>
                </c:pt>
                <c:pt idx="6">
                  <c:v>2.4821190226816672</c:v>
                </c:pt>
                <c:pt idx="7">
                  <c:v>1.3110906797115189</c:v>
                </c:pt>
                <c:pt idx="8">
                  <c:v>0.64161051397907398</c:v>
                </c:pt>
                <c:pt idx="9">
                  <c:v>1.2720809979903025</c:v>
                </c:pt>
                <c:pt idx="10">
                  <c:v>1.4943741599119313</c:v>
                </c:pt>
                <c:pt idx="11">
                  <c:v>1.8577599624434857</c:v>
                </c:pt>
                <c:pt idx="12">
                  <c:v>2.4297727518075121</c:v>
                </c:pt>
                <c:pt idx="13">
                  <c:v>2.9580983581240177</c:v>
                </c:pt>
                <c:pt idx="14">
                  <c:v>3.1626633976639882</c:v>
                </c:pt>
                <c:pt idx="15">
                  <c:v>3.0535095516377435</c:v>
                </c:pt>
                <c:pt idx="16">
                  <c:v>2.9318116653064528</c:v>
                </c:pt>
                <c:pt idx="17">
                  <c:v>2.7915613548576332</c:v>
                </c:pt>
                <c:pt idx="18">
                  <c:v>3.0888640230516975</c:v>
                </c:pt>
                <c:pt idx="19">
                  <c:v>3.0307546652250421</c:v>
                </c:pt>
                <c:pt idx="20">
                  <c:v>2.6090784778819494</c:v>
                </c:pt>
                <c:pt idx="21">
                  <c:v>2.9058082137983345</c:v>
                </c:pt>
                <c:pt idx="22">
                  <c:v>3.0303838114548949</c:v>
                </c:pt>
                <c:pt idx="23">
                  <c:v>2.974146024758094</c:v>
                </c:pt>
                <c:pt idx="24">
                  <c:v>2.9212262451672859</c:v>
                </c:pt>
                <c:pt idx="25">
                  <c:v>2.2320942136821977</c:v>
                </c:pt>
                <c:pt idx="26">
                  <c:v>2.1557496664328681</c:v>
                </c:pt>
                <c:pt idx="27">
                  <c:v>2.5846844440304637</c:v>
                </c:pt>
                <c:pt idx="28">
                  <c:v>2.2950645492750557</c:v>
                </c:pt>
                <c:pt idx="29">
                  <c:v>2.4743975619712932</c:v>
                </c:pt>
                <c:pt idx="30">
                  <c:v>3.0268537035869758</c:v>
                </c:pt>
                <c:pt idx="31">
                  <c:v>2.9313659319180112</c:v>
                </c:pt>
                <c:pt idx="32">
                  <c:v>2.9011584069071743</c:v>
                </c:pt>
                <c:pt idx="33">
                  <c:v>2.1114606003307936</c:v>
                </c:pt>
                <c:pt idx="34">
                  <c:v>2.040717177173351</c:v>
                </c:pt>
                <c:pt idx="35">
                  <c:v>2.1590443421403989</c:v>
                </c:pt>
                <c:pt idx="36">
                  <c:v>2.0101142830270811</c:v>
                </c:pt>
                <c:pt idx="37">
                  <c:v>1.7889138637531483</c:v>
                </c:pt>
                <c:pt idx="38">
                  <c:v>2.1660640484605254</c:v>
                </c:pt>
                <c:pt idx="39">
                  <c:v>1.8825668884654083</c:v>
                </c:pt>
                <c:pt idx="40">
                  <c:v>1.6805680757131687</c:v>
                </c:pt>
                <c:pt idx="41">
                  <c:v>1.5630836687453356</c:v>
                </c:pt>
                <c:pt idx="42">
                  <c:v>1.6087253961606662</c:v>
                </c:pt>
                <c:pt idx="43">
                  <c:v>1.756683631254383</c:v>
                </c:pt>
                <c:pt idx="44">
                  <c:v>1.6746096482740211</c:v>
                </c:pt>
                <c:pt idx="45">
                  <c:v>1.563477502060648</c:v>
                </c:pt>
                <c:pt idx="46">
                  <c:v>1.5329248512097611</c:v>
                </c:pt>
                <c:pt idx="47">
                  <c:v>1.3871879270560565</c:v>
                </c:pt>
                <c:pt idx="48">
                  <c:v>1.2243345390548013</c:v>
                </c:pt>
                <c:pt idx="49">
                  <c:v>1.1647224053782572</c:v>
                </c:pt>
                <c:pt idx="50">
                  <c:v>1.1533937535821137</c:v>
                </c:pt>
                <c:pt idx="51">
                  <c:v>1.1155562327733111</c:v>
                </c:pt>
                <c:pt idx="52">
                  <c:v>1.2756170034662737</c:v>
                </c:pt>
                <c:pt idx="53">
                  <c:v>1.1741294279077104</c:v>
                </c:pt>
                <c:pt idx="54">
                  <c:v>1.1272544293697204</c:v>
                </c:pt>
                <c:pt idx="55">
                  <c:v>1.0948948438744976</c:v>
                </c:pt>
                <c:pt idx="56">
                  <c:v>1.1422114766005442</c:v>
                </c:pt>
                <c:pt idx="57">
                  <c:v>1.156576341492592</c:v>
                </c:pt>
                <c:pt idx="58">
                  <c:v>1.1030375837662232</c:v>
                </c:pt>
                <c:pt idx="59">
                  <c:v>1.082134408437661</c:v>
                </c:pt>
                <c:pt idx="60">
                  <c:v>1.1374385966935519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60-4C15-8E31-DD700A57A40D}"/>
            </c:ext>
          </c:extLst>
        </c:ser>
        <c:ser>
          <c:idx val="3"/>
          <c:order val="1"/>
          <c:tx>
            <c:strRef>
              <c:f>FinalDataCompilation!$AE$4</c:f>
              <c:strCache>
                <c:ptCount val="1"/>
                <c:pt idx="0">
                  <c:v>Production component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FinalDataCompilation!$AA$5:$AA$65</c:f>
              <c:numCache>
                <c:formatCode>General</c:formatCode>
                <c:ptCount val="61"/>
                <c:pt idx="0">
                  <c:v>1952</c:v>
                </c:pt>
                <c:pt idx="1">
                  <c:v>1953</c:v>
                </c:pt>
                <c:pt idx="2">
                  <c:v>1954</c:v>
                </c:pt>
                <c:pt idx="3">
                  <c:v>1955</c:v>
                </c:pt>
                <c:pt idx="4">
                  <c:v>1956</c:v>
                </c:pt>
                <c:pt idx="5">
                  <c:v>1957</c:v>
                </c:pt>
                <c:pt idx="6">
                  <c:v>1958</c:v>
                </c:pt>
                <c:pt idx="7">
                  <c:v>1959</c:v>
                </c:pt>
                <c:pt idx="8">
                  <c:v>1960</c:v>
                </c:pt>
                <c:pt idx="9">
                  <c:v>1961</c:v>
                </c:pt>
                <c:pt idx="10">
                  <c:v>1962</c:v>
                </c:pt>
                <c:pt idx="11">
                  <c:v>1963</c:v>
                </c:pt>
                <c:pt idx="12">
                  <c:v>1964</c:v>
                </c:pt>
                <c:pt idx="13">
                  <c:v>1965</c:v>
                </c:pt>
                <c:pt idx="14">
                  <c:v>1966</c:v>
                </c:pt>
                <c:pt idx="15">
                  <c:v>1967</c:v>
                </c:pt>
                <c:pt idx="16">
                  <c:v>1968</c:v>
                </c:pt>
                <c:pt idx="17">
                  <c:v>1969</c:v>
                </c:pt>
                <c:pt idx="18">
                  <c:v>1970</c:v>
                </c:pt>
                <c:pt idx="19">
                  <c:v>1971</c:v>
                </c:pt>
                <c:pt idx="20">
                  <c:v>1972</c:v>
                </c:pt>
                <c:pt idx="21">
                  <c:v>1973</c:v>
                </c:pt>
                <c:pt idx="22">
                  <c:v>1974</c:v>
                </c:pt>
                <c:pt idx="23">
                  <c:v>1975</c:v>
                </c:pt>
                <c:pt idx="24">
                  <c:v>1976</c:v>
                </c:pt>
                <c:pt idx="25">
                  <c:v>1977</c:v>
                </c:pt>
                <c:pt idx="26">
                  <c:v>1978</c:v>
                </c:pt>
                <c:pt idx="27">
                  <c:v>1979</c:v>
                </c:pt>
                <c:pt idx="28">
                  <c:v>1980</c:v>
                </c:pt>
                <c:pt idx="29">
                  <c:v>1981</c:v>
                </c:pt>
                <c:pt idx="30">
                  <c:v>1982</c:v>
                </c:pt>
                <c:pt idx="31">
                  <c:v>1983</c:v>
                </c:pt>
                <c:pt idx="32">
                  <c:v>1984</c:v>
                </c:pt>
                <c:pt idx="33">
                  <c:v>1985</c:v>
                </c:pt>
                <c:pt idx="34">
                  <c:v>1986</c:v>
                </c:pt>
                <c:pt idx="35">
                  <c:v>1987</c:v>
                </c:pt>
                <c:pt idx="36">
                  <c:v>1988</c:v>
                </c:pt>
                <c:pt idx="37">
                  <c:v>1989</c:v>
                </c:pt>
                <c:pt idx="38">
                  <c:v>1990</c:v>
                </c:pt>
                <c:pt idx="39">
                  <c:v>1991</c:v>
                </c:pt>
                <c:pt idx="40">
                  <c:v>1992</c:v>
                </c:pt>
                <c:pt idx="41">
                  <c:v>1993</c:v>
                </c:pt>
                <c:pt idx="42">
                  <c:v>1994</c:v>
                </c:pt>
                <c:pt idx="43">
                  <c:v>1995</c:v>
                </c:pt>
                <c:pt idx="44">
                  <c:v>1996</c:v>
                </c:pt>
                <c:pt idx="45">
                  <c:v>1997</c:v>
                </c:pt>
                <c:pt idx="46">
                  <c:v>1998</c:v>
                </c:pt>
                <c:pt idx="47">
                  <c:v>1999</c:v>
                </c:pt>
                <c:pt idx="48">
                  <c:v>2000</c:v>
                </c:pt>
                <c:pt idx="49">
                  <c:v>2001</c:v>
                </c:pt>
                <c:pt idx="50">
                  <c:v>2002</c:v>
                </c:pt>
                <c:pt idx="51">
                  <c:v>2003</c:v>
                </c:pt>
                <c:pt idx="52">
                  <c:v>2004</c:v>
                </c:pt>
                <c:pt idx="53">
                  <c:v>2005</c:v>
                </c:pt>
                <c:pt idx="54">
                  <c:v>2006</c:v>
                </c:pt>
                <c:pt idx="55">
                  <c:v>2007</c:v>
                </c:pt>
                <c:pt idx="56">
                  <c:v>2008</c:v>
                </c:pt>
                <c:pt idx="57">
                  <c:v>2009</c:v>
                </c:pt>
                <c:pt idx="58">
                  <c:v>2010</c:v>
                </c:pt>
                <c:pt idx="59">
                  <c:v>2011</c:v>
                </c:pt>
                <c:pt idx="60">
                  <c:v>2012</c:v>
                </c:pt>
              </c:numCache>
            </c:numRef>
          </c:xVal>
          <c:yVal>
            <c:numRef>
              <c:f>FinalDataCompilation!$AE$5:$AE$65</c:f>
              <c:numCache>
                <c:formatCode>0.00</c:formatCode>
                <c:ptCount val="61"/>
                <c:pt idx="0">
                  <c:v>5.2151327715950897</c:v>
                </c:pt>
                <c:pt idx="1">
                  <c:v>6.3104156319854035</c:v>
                </c:pt>
                <c:pt idx="2">
                  <c:v>6.4939565250681524</c:v>
                </c:pt>
                <c:pt idx="3">
                  <c:v>6.2323142543917127</c:v>
                </c:pt>
                <c:pt idx="4">
                  <c:v>5.5511100651665144</c:v>
                </c:pt>
                <c:pt idx="5">
                  <c:v>6.2799727736173594</c:v>
                </c:pt>
                <c:pt idx="6">
                  <c:v>2.8805742538516874</c:v>
                </c:pt>
                <c:pt idx="7">
                  <c:v>4.3967371027268873</c:v>
                </c:pt>
                <c:pt idx="8">
                  <c:v>5.3214917447232644</c:v>
                </c:pt>
                <c:pt idx="9">
                  <c:v>4.8760956314121948</c:v>
                </c:pt>
                <c:pt idx="10">
                  <c:v>5.6428596322139359</c:v>
                </c:pt>
                <c:pt idx="11">
                  <c:v>5.5064331935284114</c:v>
                </c:pt>
                <c:pt idx="12">
                  <c:v>5.8352048188473979</c:v>
                </c:pt>
                <c:pt idx="13">
                  <c:v>5.8034576483429801</c:v>
                </c:pt>
                <c:pt idx="14">
                  <c:v>5.9488566567855807</c:v>
                </c:pt>
                <c:pt idx="15">
                  <c:v>5.4013310051392276</c:v>
                </c:pt>
                <c:pt idx="16">
                  <c:v>4.9741119158486971</c:v>
                </c:pt>
                <c:pt idx="17">
                  <c:v>5.9218938630830236</c:v>
                </c:pt>
                <c:pt idx="18">
                  <c:v>6.4439835493304294</c:v>
                </c:pt>
                <c:pt idx="19">
                  <c:v>6.6145297333351856</c:v>
                </c:pt>
                <c:pt idx="20">
                  <c:v>6.3141800191043167</c:v>
                </c:pt>
                <c:pt idx="21">
                  <c:v>6.4052305534028582</c:v>
                </c:pt>
                <c:pt idx="22">
                  <c:v>6.6819984499411342</c:v>
                </c:pt>
                <c:pt idx="23">
                  <c:v>6.4954975851426964</c:v>
                </c:pt>
                <c:pt idx="24">
                  <c:v>5.9779512063700926</c:v>
                </c:pt>
                <c:pt idx="25">
                  <c:v>6.5743519554325962</c:v>
                </c:pt>
                <c:pt idx="26">
                  <c:v>5.7979202099717329</c:v>
                </c:pt>
                <c:pt idx="27">
                  <c:v>5.0188286724848306</c:v>
                </c:pt>
                <c:pt idx="28">
                  <c:v>5.1567096448287391</c:v>
                </c:pt>
                <c:pt idx="29">
                  <c:v>4.7254905537204435</c:v>
                </c:pt>
                <c:pt idx="30">
                  <c:v>4.4379429153451468</c:v>
                </c:pt>
                <c:pt idx="31">
                  <c:v>4.3170660804846461</c:v>
                </c:pt>
                <c:pt idx="32">
                  <c:v>3.7301387092465879</c:v>
                </c:pt>
                <c:pt idx="33">
                  <c:v>4.0040308038614132</c:v>
                </c:pt>
                <c:pt idx="34">
                  <c:v>4.1477143798753948</c:v>
                </c:pt>
                <c:pt idx="35">
                  <c:v>4.0247869770744114</c:v>
                </c:pt>
                <c:pt idx="36">
                  <c:v>3.8733136238900427</c:v>
                </c:pt>
                <c:pt idx="37">
                  <c:v>4.027961048193399</c:v>
                </c:pt>
                <c:pt idx="38">
                  <c:v>3.6504119596266453</c:v>
                </c:pt>
                <c:pt idx="39">
                  <c:v>4.0341022648359637</c:v>
                </c:pt>
                <c:pt idx="40">
                  <c:v>4.2670298411873064</c:v>
                </c:pt>
                <c:pt idx="41">
                  <c:v>3.9843867201780885</c:v>
                </c:pt>
                <c:pt idx="42">
                  <c:v>3.7227137564572597</c:v>
                </c:pt>
                <c:pt idx="43">
                  <c:v>3.5100695692390032</c:v>
                </c:pt>
                <c:pt idx="44">
                  <c:v>3.4024020155402153</c:v>
                </c:pt>
                <c:pt idx="45">
                  <c:v>3.7201534010845463</c:v>
                </c:pt>
                <c:pt idx="46">
                  <c:v>3.5252481250277556</c:v>
                </c:pt>
                <c:pt idx="47">
                  <c:v>3.6804490422311176</c:v>
                </c:pt>
                <c:pt idx="48">
                  <c:v>3.8904173136683107</c:v>
                </c:pt>
                <c:pt idx="49">
                  <c:v>3.9165880486264428</c:v>
                </c:pt>
                <c:pt idx="50">
                  <c:v>4.0314298866925489</c:v>
                </c:pt>
                <c:pt idx="51">
                  <c:v>4.0290840577531952</c:v>
                </c:pt>
                <c:pt idx="52">
                  <c:v>3.3466475966996243</c:v>
                </c:pt>
                <c:pt idx="53">
                  <c:v>3.3043726903416415</c:v>
                </c:pt>
                <c:pt idx="54">
                  <c:v>3.2892463844113071</c:v>
                </c:pt>
                <c:pt idx="55">
                  <c:v>3.127506716426518</c:v>
                </c:pt>
                <c:pt idx="56">
                  <c:v>2.9624035860572606</c:v>
                </c:pt>
                <c:pt idx="57">
                  <c:v>2.975603461860667</c:v>
                </c:pt>
                <c:pt idx="58">
                  <c:v>2.9586090198201456</c:v>
                </c:pt>
                <c:pt idx="59">
                  <c:v>2.7976194716872347</c:v>
                </c:pt>
                <c:pt idx="60">
                  <c:v>2.5448957817800411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60-4C15-8E31-DD700A57A40D}"/>
            </c:ext>
          </c:extLst>
        </c:ser>
        <c:ser>
          <c:idx val="4"/>
          <c:order val="2"/>
          <c:tx>
            <c:strRef>
              <c:f>FinalDataCompilation!$AF$4</c:f>
              <c:strCache>
                <c:ptCount val="1"/>
                <c:pt idx="0">
                  <c:v>Mobility component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FinalDataCompilation!$AA$5:$AA$65</c:f>
              <c:numCache>
                <c:formatCode>General</c:formatCode>
                <c:ptCount val="61"/>
                <c:pt idx="0">
                  <c:v>1952</c:v>
                </c:pt>
                <c:pt idx="1">
                  <c:v>1953</c:v>
                </c:pt>
                <c:pt idx="2">
                  <c:v>1954</c:v>
                </c:pt>
                <c:pt idx="3">
                  <c:v>1955</c:v>
                </c:pt>
                <c:pt idx="4">
                  <c:v>1956</c:v>
                </c:pt>
                <c:pt idx="5">
                  <c:v>1957</c:v>
                </c:pt>
                <c:pt idx="6">
                  <c:v>1958</c:v>
                </c:pt>
                <c:pt idx="7">
                  <c:v>1959</c:v>
                </c:pt>
                <c:pt idx="8">
                  <c:v>1960</c:v>
                </c:pt>
                <c:pt idx="9">
                  <c:v>1961</c:v>
                </c:pt>
                <c:pt idx="10">
                  <c:v>1962</c:v>
                </c:pt>
                <c:pt idx="11">
                  <c:v>1963</c:v>
                </c:pt>
                <c:pt idx="12">
                  <c:v>1964</c:v>
                </c:pt>
                <c:pt idx="13">
                  <c:v>1965</c:v>
                </c:pt>
                <c:pt idx="14">
                  <c:v>1966</c:v>
                </c:pt>
                <c:pt idx="15">
                  <c:v>1967</c:v>
                </c:pt>
                <c:pt idx="16">
                  <c:v>1968</c:v>
                </c:pt>
                <c:pt idx="17">
                  <c:v>1969</c:v>
                </c:pt>
                <c:pt idx="18">
                  <c:v>1970</c:v>
                </c:pt>
                <c:pt idx="19">
                  <c:v>1971</c:v>
                </c:pt>
                <c:pt idx="20">
                  <c:v>1972</c:v>
                </c:pt>
                <c:pt idx="21">
                  <c:v>1973</c:v>
                </c:pt>
                <c:pt idx="22">
                  <c:v>1974</c:v>
                </c:pt>
                <c:pt idx="23">
                  <c:v>1975</c:v>
                </c:pt>
                <c:pt idx="24">
                  <c:v>1976</c:v>
                </c:pt>
                <c:pt idx="25">
                  <c:v>1977</c:v>
                </c:pt>
                <c:pt idx="26">
                  <c:v>1978</c:v>
                </c:pt>
                <c:pt idx="27">
                  <c:v>1979</c:v>
                </c:pt>
                <c:pt idx="28">
                  <c:v>1980</c:v>
                </c:pt>
                <c:pt idx="29">
                  <c:v>1981</c:v>
                </c:pt>
                <c:pt idx="30">
                  <c:v>1982</c:v>
                </c:pt>
                <c:pt idx="31">
                  <c:v>1983</c:v>
                </c:pt>
                <c:pt idx="32">
                  <c:v>1984</c:v>
                </c:pt>
                <c:pt idx="33">
                  <c:v>1985</c:v>
                </c:pt>
                <c:pt idx="34">
                  <c:v>1986</c:v>
                </c:pt>
                <c:pt idx="35">
                  <c:v>1987</c:v>
                </c:pt>
                <c:pt idx="36">
                  <c:v>1988</c:v>
                </c:pt>
                <c:pt idx="37">
                  <c:v>1989</c:v>
                </c:pt>
                <c:pt idx="38">
                  <c:v>1990</c:v>
                </c:pt>
                <c:pt idx="39">
                  <c:v>1991</c:v>
                </c:pt>
                <c:pt idx="40">
                  <c:v>1992</c:v>
                </c:pt>
                <c:pt idx="41">
                  <c:v>1993</c:v>
                </c:pt>
                <c:pt idx="42">
                  <c:v>1994</c:v>
                </c:pt>
                <c:pt idx="43">
                  <c:v>1995</c:v>
                </c:pt>
                <c:pt idx="44">
                  <c:v>1996</c:v>
                </c:pt>
                <c:pt idx="45">
                  <c:v>1997</c:v>
                </c:pt>
                <c:pt idx="46">
                  <c:v>1998</c:v>
                </c:pt>
                <c:pt idx="47">
                  <c:v>1999</c:v>
                </c:pt>
                <c:pt idx="48">
                  <c:v>2000</c:v>
                </c:pt>
                <c:pt idx="49">
                  <c:v>2001</c:v>
                </c:pt>
                <c:pt idx="50">
                  <c:v>2002</c:v>
                </c:pt>
                <c:pt idx="51">
                  <c:v>2003</c:v>
                </c:pt>
                <c:pt idx="52">
                  <c:v>2004</c:v>
                </c:pt>
                <c:pt idx="53">
                  <c:v>2005</c:v>
                </c:pt>
                <c:pt idx="54">
                  <c:v>2006</c:v>
                </c:pt>
                <c:pt idx="55">
                  <c:v>2007</c:v>
                </c:pt>
                <c:pt idx="56">
                  <c:v>2008</c:v>
                </c:pt>
                <c:pt idx="57">
                  <c:v>2009</c:v>
                </c:pt>
                <c:pt idx="58">
                  <c:v>2010</c:v>
                </c:pt>
                <c:pt idx="59">
                  <c:v>2011</c:v>
                </c:pt>
                <c:pt idx="60">
                  <c:v>2012</c:v>
                </c:pt>
              </c:numCache>
            </c:numRef>
          </c:xVal>
          <c:yVal>
            <c:numRef>
              <c:f>FinalDataCompilation!$AF$5:$AF$65</c:f>
              <c:numCache>
                <c:formatCode>0.00</c:formatCode>
                <c:ptCount val="61"/>
                <c:pt idx="0">
                  <c:v>1.1922411001156665</c:v>
                </c:pt>
                <c:pt idx="1">
                  <c:v>1.1489226708626248</c:v>
                </c:pt>
                <c:pt idx="2">
                  <c:v>1.1334208433368826</c:v>
                </c:pt>
                <c:pt idx="3">
                  <c:v>1.1627564629487543</c:v>
                </c:pt>
                <c:pt idx="4">
                  <c:v>1.2329641159269169</c:v>
                </c:pt>
                <c:pt idx="5">
                  <c:v>1.284491390060652</c:v>
                </c:pt>
                <c:pt idx="6">
                  <c:v>1.1752278409383399</c:v>
                </c:pt>
                <c:pt idx="7">
                  <c:v>1.2935748615674829</c:v>
                </c:pt>
                <c:pt idx="8">
                  <c:v>1.4874911976346359</c:v>
                </c:pt>
                <c:pt idx="9">
                  <c:v>1.5378299549820065</c:v>
                </c:pt>
                <c:pt idx="10">
                  <c:v>1.5721874526563957</c:v>
                </c:pt>
                <c:pt idx="11">
                  <c:v>1.5892479977671055</c:v>
                </c:pt>
                <c:pt idx="12">
                  <c:v>1.5929049695235677</c:v>
                </c:pt>
                <c:pt idx="13">
                  <c:v>1.5701393203085605</c:v>
                </c:pt>
                <c:pt idx="14">
                  <c:v>1.5512832950662396</c:v>
                </c:pt>
                <c:pt idx="15">
                  <c:v>1.5436005092612919</c:v>
                </c:pt>
                <c:pt idx="16">
                  <c:v>1.5509339531999811</c:v>
                </c:pt>
                <c:pt idx="17">
                  <c:v>1.5452583279247734</c:v>
                </c:pt>
                <c:pt idx="18">
                  <c:v>1.5141938697482455</c:v>
                </c:pt>
                <c:pt idx="19">
                  <c:v>1.4531640585408907</c:v>
                </c:pt>
                <c:pt idx="20">
                  <c:v>1.5292199434842648</c:v>
                </c:pt>
                <c:pt idx="21">
                  <c:v>1.4602812346689866</c:v>
                </c:pt>
                <c:pt idx="22">
                  <c:v>1.3245053320723401</c:v>
                </c:pt>
                <c:pt idx="23">
                  <c:v>1.3747964851419097</c:v>
                </c:pt>
                <c:pt idx="24">
                  <c:v>1.3585762215404231</c:v>
                </c:pt>
                <c:pt idx="25">
                  <c:v>1.351715690546639</c:v>
                </c:pt>
                <c:pt idx="26">
                  <c:v>1.3380485123072432</c:v>
                </c:pt>
                <c:pt idx="27">
                  <c:v>1.2882597242054048</c:v>
                </c:pt>
                <c:pt idx="28">
                  <c:v>1.2563549747683964</c:v>
                </c:pt>
                <c:pt idx="29">
                  <c:v>1.2285836865631516</c:v>
                </c:pt>
                <c:pt idx="30">
                  <c:v>1.223017885910437</c:v>
                </c:pt>
                <c:pt idx="31">
                  <c:v>1.2099752086008353</c:v>
                </c:pt>
                <c:pt idx="32">
                  <c:v>1.2837141242977503</c:v>
                </c:pt>
                <c:pt idx="33">
                  <c:v>1.3281492209276091</c:v>
                </c:pt>
                <c:pt idx="34">
                  <c:v>1.2856111631302471</c:v>
                </c:pt>
                <c:pt idx="35">
                  <c:v>1.2940922837068487</c:v>
                </c:pt>
                <c:pt idx="36">
                  <c:v>1.3872996138544347</c:v>
                </c:pt>
                <c:pt idx="37">
                  <c:v>1.4168073220809003</c:v>
                </c:pt>
                <c:pt idx="38">
                  <c:v>1.411541128085267</c:v>
                </c:pt>
                <c:pt idx="39">
                  <c:v>1.4381937397561804</c:v>
                </c:pt>
                <c:pt idx="40">
                  <c:v>1.5091314653472077</c:v>
                </c:pt>
                <c:pt idx="41">
                  <c:v>1.68341786627627</c:v>
                </c:pt>
                <c:pt idx="42">
                  <c:v>1.6390558396687671</c:v>
                </c:pt>
                <c:pt idx="43">
                  <c:v>1.5876279078072186</c:v>
                </c:pt>
                <c:pt idx="44">
                  <c:v>1.5564614375409991</c:v>
                </c:pt>
                <c:pt idx="45">
                  <c:v>1.5226172884100673</c:v>
                </c:pt>
                <c:pt idx="46">
                  <c:v>1.6819016113385878</c:v>
                </c:pt>
                <c:pt idx="47">
                  <c:v>1.7607729540166441</c:v>
                </c:pt>
                <c:pt idx="48">
                  <c:v>1.8447413492800746</c:v>
                </c:pt>
                <c:pt idx="49">
                  <c:v>1.9329935291047353</c:v>
                </c:pt>
                <c:pt idx="50">
                  <c:v>1.9815189580867245</c:v>
                </c:pt>
                <c:pt idx="51">
                  <c:v>2.076358052624248</c:v>
                </c:pt>
                <c:pt idx="52">
                  <c:v>2.1720682630802526</c:v>
                </c:pt>
                <c:pt idx="53">
                  <c:v>2.2659453801652192</c:v>
                </c:pt>
                <c:pt idx="54">
                  <c:v>2.2968028125279889</c:v>
                </c:pt>
                <c:pt idx="55">
                  <c:v>2.3237202132482895</c:v>
                </c:pt>
                <c:pt idx="56">
                  <c:v>2.3430635983234924</c:v>
                </c:pt>
                <c:pt idx="57">
                  <c:v>2.2845138074586324</c:v>
                </c:pt>
                <c:pt idx="58">
                  <c:v>2.2211460834005785</c:v>
                </c:pt>
                <c:pt idx="59">
                  <c:v>2.1763395598416144</c:v>
                </c:pt>
                <c:pt idx="60">
                  <c:v>2.2545033230760776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60-4C15-8E31-DD700A57A40D}"/>
            </c:ext>
          </c:extLst>
        </c:ser>
        <c:ser>
          <c:idx val="5"/>
          <c:order val="3"/>
          <c:tx>
            <c:strRef>
              <c:f>FinalDataCompilation!$AG$4</c:f>
              <c:strCache>
                <c:ptCount val="1"/>
                <c:pt idx="0">
                  <c:v>Labor Distortion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FinalDataCompilation!$AA$5:$AA$65</c:f>
              <c:numCache>
                <c:formatCode>General</c:formatCode>
                <c:ptCount val="61"/>
                <c:pt idx="0">
                  <c:v>1952</c:v>
                </c:pt>
                <c:pt idx="1">
                  <c:v>1953</c:v>
                </c:pt>
                <c:pt idx="2">
                  <c:v>1954</c:v>
                </c:pt>
                <c:pt idx="3">
                  <c:v>1955</c:v>
                </c:pt>
                <c:pt idx="4">
                  <c:v>1956</c:v>
                </c:pt>
                <c:pt idx="5">
                  <c:v>1957</c:v>
                </c:pt>
                <c:pt idx="6">
                  <c:v>1958</c:v>
                </c:pt>
                <c:pt idx="7">
                  <c:v>1959</c:v>
                </c:pt>
                <c:pt idx="8">
                  <c:v>1960</c:v>
                </c:pt>
                <c:pt idx="9">
                  <c:v>1961</c:v>
                </c:pt>
                <c:pt idx="10">
                  <c:v>1962</c:v>
                </c:pt>
                <c:pt idx="11">
                  <c:v>1963</c:v>
                </c:pt>
                <c:pt idx="12">
                  <c:v>1964</c:v>
                </c:pt>
                <c:pt idx="13">
                  <c:v>1965</c:v>
                </c:pt>
                <c:pt idx="14">
                  <c:v>1966</c:v>
                </c:pt>
                <c:pt idx="15">
                  <c:v>1967</c:v>
                </c:pt>
                <c:pt idx="16">
                  <c:v>1968</c:v>
                </c:pt>
                <c:pt idx="17">
                  <c:v>1969</c:v>
                </c:pt>
                <c:pt idx="18">
                  <c:v>1970</c:v>
                </c:pt>
                <c:pt idx="19">
                  <c:v>1971</c:v>
                </c:pt>
                <c:pt idx="20">
                  <c:v>1972</c:v>
                </c:pt>
                <c:pt idx="21">
                  <c:v>1973</c:v>
                </c:pt>
                <c:pt idx="22">
                  <c:v>1974</c:v>
                </c:pt>
                <c:pt idx="23">
                  <c:v>1975</c:v>
                </c:pt>
                <c:pt idx="24">
                  <c:v>1976</c:v>
                </c:pt>
                <c:pt idx="25">
                  <c:v>1977</c:v>
                </c:pt>
                <c:pt idx="26">
                  <c:v>1978</c:v>
                </c:pt>
                <c:pt idx="27">
                  <c:v>1979</c:v>
                </c:pt>
                <c:pt idx="28">
                  <c:v>1980</c:v>
                </c:pt>
                <c:pt idx="29">
                  <c:v>1981</c:v>
                </c:pt>
                <c:pt idx="30">
                  <c:v>1982</c:v>
                </c:pt>
                <c:pt idx="31">
                  <c:v>1983</c:v>
                </c:pt>
                <c:pt idx="32">
                  <c:v>1984</c:v>
                </c:pt>
                <c:pt idx="33">
                  <c:v>1985</c:v>
                </c:pt>
                <c:pt idx="34">
                  <c:v>1986</c:v>
                </c:pt>
                <c:pt idx="35">
                  <c:v>1987</c:v>
                </c:pt>
                <c:pt idx="36">
                  <c:v>1988</c:v>
                </c:pt>
                <c:pt idx="37">
                  <c:v>1989</c:v>
                </c:pt>
                <c:pt idx="38">
                  <c:v>1990</c:v>
                </c:pt>
                <c:pt idx="39">
                  <c:v>1991</c:v>
                </c:pt>
                <c:pt idx="40">
                  <c:v>1992</c:v>
                </c:pt>
                <c:pt idx="41">
                  <c:v>1993</c:v>
                </c:pt>
                <c:pt idx="42">
                  <c:v>1994</c:v>
                </c:pt>
                <c:pt idx="43">
                  <c:v>1995</c:v>
                </c:pt>
                <c:pt idx="44">
                  <c:v>1996</c:v>
                </c:pt>
                <c:pt idx="45">
                  <c:v>1997</c:v>
                </c:pt>
                <c:pt idx="46">
                  <c:v>1998</c:v>
                </c:pt>
                <c:pt idx="47">
                  <c:v>1999</c:v>
                </c:pt>
                <c:pt idx="48">
                  <c:v>2000</c:v>
                </c:pt>
                <c:pt idx="49">
                  <c:v>2001</c:v>
                </c:pt>
                <c:pt idx="50">
                  <c:v>2002</c:v>
                </c:pt>
                <c:pt idx="51">
                  <c:v>2003</c:v>
                </c:pt>
                <c:pt idx="52">
                  <c:v>2004</c:v>
                </c:pt>
                <c:pt idx="53">
                  <c:v>2005</c:v>
                </c:pt>
                <c:pt idx="54">
                  <c:v>2006</c:v>
                </c:pt>
                <c:pt idx="55">
                  <c:v>2007</c:v>
                </c:pt>
                <c:pt idx="56">
                  <c:v>2008</c:v>
                </c:pt>
                <c:pt idx="57">
                  <c:v>2009</c:v>
                </c:pt>
                <c:pt idx="58">
                  <c:v>2010</c:v>
                </c:pt>
                <c:pt idx="59">
                  <c:v>2011</c:v>
                </c:pt>
                <c:pt idx="60">
                  <c:v>2012</c:v>
                </c:pt>
              </c:numCache>
            </c:numRef>
          </c:xVal>
          <c:yVal>
            <c:numRef>
              <c:f>FinalDataCompilation!$AG$5:$AG$65</c:f>
              <c:numCache>
                <c:formatCode>0.00</c:formatCode>
                <c:ptCount val="61"/>
                <c:pt idx="0">
                  <c:v>22.487719060160003</c:v>
                </c:pt>
                <c:pt idx="1">
                  <c:v>21.0202953864856</c:v>
                </c:pt>
                <c:pt idx="2">
                  <c:v>21.357151651965538</c:v>
                </c:pt>
                <c:pt idx="3">
                  <c:v>22.965010020364279</c:v>
                </c:pt>
                <c:pt idx="4">
                  <c:v>20.023691594604085</c:v>
                </c:pt>
                <c:pt idx="5">
                  <c:v>21.093355946149163</c:v>
                </c:pt>
                <c:pt idx="6">
                  <c:v>8.402794624624633</c:v>
                </c:pt>
                <c:pt idx="7">
                  <c:v>7.4568395018283207</c:v>
                </c:pt>
                <c:pt idx="8">
                  <c:v>5.0787784628960049</c:v>
                </c:pt>
                <c:pt idx="9">
                  <c:v>9.5388341090457764</c:v>
                </c:pt>
                <c:pt idx="10">
                  <c:v>13.257539277100292</c:v>
                </c:pt>
                <c:pt idx="11">
                  <c:v>16.257420779816943</c:v>
                </c:pt>
                <c:pt idx="12">
                  <c:v>22.584559757231446</c:v>
                </c:pt>
                <c:pt idx="13">
                  <c:v>26.954893448776708</c:v>
                </c:pt>
                <c:pt idx="14">
                  <c:v>29.186202579948773</c:v>
                </c:pt>
                <c:pt idx="15">
                  <c:v>25.45862761244582</c:v>
                </c:pt>
                <c:pt idx="16">
                  <c:v>22.617516964439698</c:v>
                </c:pt>
                <c:pt idx="17">
                  <c:v>25.54517544032257</c:v>
                </c:pt>
                <c:pt idx="18">
                  <c:v>30.13940656895371</c:v>
                </c:pt>
                <c:pt idx="19">
                  <c:v>29.13160436386023</c:v>
                </c:pt>
                <c:pt idx="20">
                  <c:v>25.19266172559367</c:v>
                </c:pt>
                <c:pt idx="21">
                  <c:v>27.179296912043974</c:v>
                </c:pt>
                <c:pt idx="22">
                  <c:v>26.819934867674167</c:v>
                </c:pt>
                <c:pt idx="23">
                  <c:v>26.559086078651834</c:v>
                </c:pt>
                <c:pt idx="24">
                  <c:v>23.724745851532742</c:v>
                </c:pt>
                <c:pt idx="25">
                  <c:v>19.835850519983055</c:v>
                </c:pt>
                <c:pt idx="26">
                  <c:v>16.724087128232629</c:v>
                </c:pt>
                <c:pt idx="27">
                  <c:v>16.711419020720339</c:v>
                </c:pt>
                <c:pt idx="28">
                  <c:v>14.868937879735295</c:v>
                </c:pt>
                <c:pt idx="29">
                  <c:v>14.365512447409895</c:v>
                </c:pt>
                <c:pt idx="30">
                  <c:v>16.42880409189085</c:v>
                </c:pt>
                <c:pt idx="31">
                  <c:v>15.312115792659474</c:v>
                </c:pt>
                <c:pt idx="32">
                  <c:v>13.891999017693761</c:v>
                </c:pt>
                <c:pt idx="33">
                  <c:v>11.228642728739173</c:v>
                </c:pt>
                <c:pt idx="34">
                  <c:v>10.881813971017221</c:v>
                </c:pt>
                <c:pt idx="35">
                  <c:v>11.245265372349971</c:v>
                </c:pt>
                <c:pt idx="36">
                  <c:v>10.801241548198432</c:v>
                </c:pt>
                <c:pt idx="37">
                  <c:v>10.209053613094857</c:v>
                </c:pt>
                <c:pt idx="38">
                  <c:v>11.161092552028528</c:v>
                </c:pt>
                <c:pt idx="39">
                  <c:v>10.922315397342919</c:v>
                </c:pt>
                <c:pt idx="40">
                  <c:v>10.822033243476799</c:v>
                </c:pt>
                <c:pt idx="41">
                  <c:v>10.484208315900306</c:v>
                </c:pt>
                <c:pt idx="42">
                  <c:v>9.8160172165400219</c:v>
                </c:pt>
                <c:pt idx="43">
                  <c:v>9.789443478990119</c:v>
                </c:pt>
                <c:pt idx="44">
                  <c:v>8.8682429278597201</c:v>
                </c:pt>
                <c:pt idx="45">
                  <c:v>8.8561148770289737</c:v>
                </c:pt>
                <c:pt idx="46">
                  <c:v>9.0888961631070142</c:v>
                </c:pt>
                <c:pt idx="47">
                  <c:v>8.9895813774536162</c:v>
                </c:pt>
                <c:pt idx="48">
                  <c:v>8.7868208742688392</c:v>
                </c:pt>
                <c:pt idx="49">
                  <c:v>8.8178097510735594</c:v>
                </c:pt>
                <c:pt idx="50">
                  <c:v>9.2137184685240303</c:v>
                </c:pt>
                <c:pt idx="51">
                  <c:v>9.3325439016247085</c:v>
                </c:pt>
                <c:pt idx="52">
                  <c:v>9.2726475553598533</c:v>
                </c:pt>
                <c:pt idx="53">
                  <c:v>8.7913270046829997</c:v>
                </c:pt>
                <c:pt idx="54">
                  <c:v>8.5161257912278465</c:v>
                </c:pt>
                <c:pt idx="55">
                  <c:v>7.9570941616182989</c:v>
                </c:pt>
                <c:pt idx="56">
                  <c:v>7.9282040871238477</c:v>
                </c:pt>
                <c:pt idx="57">
                  <c:v>7.8621829747732388</c:v>
                </c:pt>
                <c:pt idx="58">
                  <c:v>7.2486146106922655</c:v>
                </c:pt>
                <c:pt idx="59">
                  <c:v>6.5886510190164778</c:v>
                </c:pt>
                <c:pt idx="60">
                  <c:v>6.5260266464830092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960-4C15-8E31-DD700A57A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350384"/>
        <c:axId val="511350776"/>
      </c:scatterChart>
      <c:valAx>
        <c:axId val="511350384"/>
        <c:scaling>
          <c:orientation val="minMax"/>
          <c:max val="2012"/>
          <c:min val="195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350776"/>
        <c:crosses val="autoZero"/>
        <c:crossBetween val="midCat"/>
      </c:valAx>
      <c:valAx>
        <c:axId val="511350776"/>
        <c:scaling>
          <c:logBase val="2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350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Wage Gap for Agriculture vs Non-agriculture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868896865328073E-2"/>
          <c:y val="4.0520738810994363E-2"/>
          <c:w val="0.85354248312159153"/>
          <c:h val="0.75401340631677549"/>
        </c:manualLayout>
      </c:layout>
      <c:scatterChart>
        <c:scatterStyle val="lineMarker"/>
        <c:varyColors val="0"/>
        <c:ser>
          <c:idx val="0"/>
          <c:order val="0"/>
          <c:tx>
            <c:v>Wage Gap, staff and workers</c:v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LaborShares!$T$4:$T$33</c:f>
              <c:numCache>
                <c:formatCode>General</c:formatCode>
                <c:ptCount val="30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</c:numCache>
            </c:numRef>
          </c:xVal>
          <c:yVal>
            <c:numRef>
              <c:f>LaborShares!$U$4:$U$33</c:f>
              <c:numCache>
                <c:formatCode>0.000</c:formatCode>
                <c:ptCount val="30"/>
                <c:pt idx="0">
                  <c:v>0.7473570582845801</c:v>
                </c:pt>
                <c:pt idx="1">
                  <c:v>0.77624098713230938</c:v>
                </c:pt>
                <c:pt idx="2">
                  <c:v>0.79595338903668178</c:v>
                </c:pt>
                <c:pt idx="3">
                  <c:v>0.81394536728499689</c:v>
                </c:pt>
                <c:pt idx="4">
                  <c:v>0.81764953033011578</c:v>
                </c:pt>
                <c:pt idx="5">
                  <c:v>0.82646321419788282</c:v>
                </c:pt>
                <c:pt idx="6">
                  <c:v>0.77898963723488301</c:v>
                </c:pt>
                <c:pt idx="7">
                  <c:v>0.75292744538266387</c:v>
                </c:pt>
                <c:pt idx="8">
                  <c:v>0.77784016557943392</c:v>
                </c:pt>
                <c:pt idx="9">
                  <c:v>0.77274241767021501</c:v>
                </c:pt>
                <c:pt idx="10">
                  <c:v>0.72082482400584524</c:v>
                </c:pt>
                <c:pt idx="11">
                  <c:v>0.70581227554024428</c:v>
                </c:pt>
                <c:pt idx="12">
                  <c:v>0.70844552815579953</c:v>
                </c:pt>
                <c:pt idx="13">
                  <c:v>0.69531661302428682</c:v>
                </c:pt>
                <c:pt idx="14">
                  <c:v>0.66263279440000866</c:v>
                </c:pt>
                <c:pt idx="15">
                  <c:v>0.5940295752070196</c:v>
                </c:pt>
                <c:pt idx="16">
                  <c:v>0.61010734094458163</c:v>
                </c:pt>
                <c:pt idx="17">
                  <c:v>0.62987051001211503</c:v>
                </c:pt>
                <c:pt idx="18">
                  <c:v>0.64248299114937679</c:v>
                </c:pt>
                <c:pt idx="19">
                  <c:v>0.65676385498302747</c:v>
                </c:pt>
                <c:pt idx="20">
                  <c:v>0.59456510015715036</c:v>
                </c:pt>
                <c:pt idx="21">
                  <c:v>0.56793239453094602</c:v>
                </c:pt>
                <c:pt idx="22">
                  <c:v>0.54208141449762492</c:v>
                </c:pt>
                <c:pt idx="23">
                  <c:v>0.51733230605440739</c:v>
                </c:pt>
                <c:pt idx="24">
                  <c:v>0.50466335228281645</c:v>
                </c:pt>
                <c:pt idx="25">
                  <c:v>0.48161250355454321</c:v>
                </c:pt>
                <c:pt idx="26">
                  <c:v>0.46039068706886788</c:v>
                </c:pt>
                <c:pt idx="27">
                  <c:v>0.4413169040849016</c:v>
                </c:pt>
                <c:pt idx="28">
                  <c:v>0.43538783327217556</c:v>
                </c:pt>
                <c:pt idx="29">
                  <c:v>0.43034440820313596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0F-4471-8495-87F2092A986A}"/>
            </c:ext>
          </c:extLst>
        </c:ser>
        <c:ser>
          <c:idx val="1"/>
          <c:order val="1"/>
          <c:tx>
            <c:v>Wage Gap, factor income</c:v>
          </c:tx>
          <c:spPr>
            <a:ln w="38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LaborShares!$T$4:$T$33</c:f>
              <c:numCache>
                <c:formatCode>General</c:formatCode>
                <c:ptCount val="30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</c:numCache>
            </c:numRef>
          </c:xVal>
          <c:yVal>
            <c:numRef>
              <c:f>LaborShares!$V$4:$V$33</c:f>
              <c:numCache>
                <c:formatCode>0.000</c:formatCode>
                <c:ptCount val="30"/>
                <c:pt idx="0">
                  <c:v>0.56287235599455188</c:v>
                </c:pt>
                <c:pt idx="1">
                  <c:v>0.66425707331400241</c:v>
                </c:pt>
                <c:pt idx="2">
                  <c:v>0.65817572172732874</c:v>
                </c:pt>
                <c:pt idx="3">
                  <c:v>0.74109259070569022</c:v>
                </c:pt>
                <c:pt idx="4">
                  <c:v>0.77961649265985344</c:v>
                </c:pt>
                <c:pt idx="5">
                  <c:v>0.82033894223216253</c:v>
                </c:pt>
                <c:pt idx="6">
                  <c:v>0.87561630159059511</c:v>
                </c:pt>
                <c:pt idx="7">
                  <c:v>0.78430893433383864</c:v>
                </c:pt>
                <c:pt idx="8">
                  <c:v>0.75065677887999227</c:v>
                </c:pt>
                <c:pt idx="9">
                  <c:v>0.76430569063727238</c:v>
                </c:pt>
                <c:pt idx="10">
                  <c:v>0.71811987241409336</c:v>
                </c:pt>
                <c:pt idx="11">
                  <c:v>0.66729230910310755</c:v>
                </c:pt>
                <c:pt idx="12">
                  <c:v>0.70886174665423918</c:v>
                </c:pt>
                <c:pt idx="13">
                  <c:v>0.63746894508687446</c:v>
                </c:pt>
                <c:pt idx="14">
                  <c:v>0.58924012283296168</c:v>
                </c:pt>
                <c:pt idx="15">
                  <c:v>0.54750246244324974</c:v>
                </c:pt>
                <c:pt idx="16">
                  <c:v>0.58485663693074275</c:v>
                </c:pt>
                <c:pt idx="17">
                  <c:v>0.64063205745871743</c:v>
                </c:pt>
                <c:pt idx="18">
                  <c:v>0.68379055236723507</c:v>
                </c:pt>
                <c:pt idx="19">
                  <c:v>0.63078094709585453</c:v>
                </c:pt>
                <c:pt idx="20">
                  <c:v>0.59936646202315358</c:v>
                </c:pt>
                <c:pt idx="21">
                  <c:v>0.55009539953537601</c:v>
                </c:pt>
                <c:pt idx="22">
                  <c:v>0.49631838144285606</c:v>
                </c:pt>
                <c:pt idx="23">
                  <c:v>0.47194481145436729</c:v>
                </c:pt>
                <c:pt idx="24">
                  <c:v>0.4463232044399767</c:v>
                </c:pt>
                <c:pt idx="25">
                  <c:v>0.43287675240213858</c:v>
                </c:pt>
                <c:pt idx="26">
                  <c:v>0.49104169686512777</c:v>
                </c:pt>
                <c:pt idx="27">
                  <c:v>0.47511279926000299</c:v>
                </c:pt>
                <c:pt idx="28">
                  <c:v>0.46983649357235074</c:v>
                </c:pt>
                <c:pt idx="29">
                  <c:v>0.48236885324770779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0F-4471-8495-87F2092A9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351560"/>
        <c:axId val="511351952"/>
      </c:scatterChart>
      <c:valAx>
        <c:axId val="511351560"/>
        <c:scaling>
          <c:orientation val="minMax"/>
          <c:max val="2008"/>
          <c:min val="1978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351952"/>
        <c:crosses val="autoZero"/>
        <c:crossBetween val="midCat"/>
      </c:valAx>
      <c:valAx>
        <c:axId val="511351952"/>
        <c:scaling>
          <c:orientation val="minMax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351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666244608871127E-2"/>
          <c:y val="3.5135766257065972E-2"/>
          <c:w val="0.88703113115885635"/>
          <c:h val="0.80135951360510316"/>
        </c:manualLayout>
      </c:layout>
      <c:scatterChart>
        <c:scatterStyle val="lineMarker"/>
        <c:varyColors val="0"/>
        <c:ser>
          <c:idx val="0"/>
          <c:order val="0"/>
          <c:tx>
            <c:v>Rescaled Farm Capital, Tang</c:v>
          </c:tx>
          <c:spPr>
            <a:ln w="38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FarmCapital!$A$4:$A$32</c:f>
              <c:numCache>
                <c:formatCode>General</c:formatCode>
                <c:ptCount val="29"/>
                <c:pt idx="0">
                  <c:v>1952</c:v>
                </c:pt>
                <c:pt idx="1">
                  <c:v>1953</c:v>
                </c:pt>
                <c:pt idx="2">
                  <c:v>1954</c:v>
                </c:pt>
                <c:pt idx="3">
                  <c:v>1955</c:v>
                </c:pt>
                <c:pt idx="4">
                  <c:v>1956</c:v>
                </c:pt>
                <c:pt idx="5">
                  <c:v>1957</c:v>
                </c:pt>
                <c:pt idx="6">
                  <c:v>1958</c:v>
                </c:pt>
                <c:pt idx="7">
                  <c:v>1959</c:v>
                </c:pt>
                <c:pt idx="8">
                  <c:v>1960</c:v>
                </c:pt>
                <c:pt idx="9">
                  <c:v>1961</c:v>
                </c:pt>
                <c:pt idx="10">
                  <c:v>1962</c:v>
                </c:pt>
                <c:pt idx="11">
                  <c:v>1963</c:v>
                </c:pt>
                <c:pt idx="12">
                  <c:v>1964</c:v>
                </c:pt>
                <c:pt idx="13">
                  <c:v>1965</c:v>
                </c:pt>
                <c:pt idx="14">
                  <c:v>1966</c:v>
                </c:pt>
                <c:pt idx="15">
                  <c:v>1967</c:v>
                </c:pt>
                <c:pt idx="16">
                  <c:v>1968</c:v>
                </c:pt>
                <c:pt idx="17">
                  <c:v>1969</c:v>
                </c:pt>
                <c:pt idx="18">
                  <c:v>1970</c:v>
                </c:pt>
                <c:pt idx="19">
                  <c:v>1971</c:v>
                </c:pt>
                <c:pt idx="20">
                  <c:v>1972</c:v>
                </c:pt>
                <c:pt idx="21">
                  <c:v>1973</c:v>
                </c:pt>
                <c:pt idx="22">
                  <c:v>1974</c:v>
                </c:pt>
                <c:pt idx="23">
                  <c:v>1975</c:v>
                </c:pt>
                <c:pt idx="24">
                  <c:v>1976</c:v>
                </c:pt>
                <c:pt idx="25">
                  <c:v>1977</c:v>
                </c:pt>
                <c:pt idx="26">
                  <c:v>1978</c:v>
                </c:pt>
                <c:pt idx="27">
                  <c:v>1979</c:v>
                </c:pt>
                <c:pt idx="28">
                  <c:v>1980</c:v>
                </c:pt>
              </c:numCache>
            </c:numRef>
          </c:xVal>
          <c:yVal>
            <c:numRef>
              <c:f>FarmCapital!$E$4:$E$32</c:f>
              <c:numCache>
                <c:formatCode>0.00</c:formatCode>
                <c:ptCount val="29"/>
                <c:pt idx="0">
                  <c:v>25.031666221882649</c:v>
                </c:pt>
                <c:pt idx="1">
                  <c:v>26.654335339347941</c:v>
                </c:pt>
                <c:pt idx="2">
                  <c:v>26.969115414047494</c:v>
                </c:pt>
                <c:pt idx="3">
                  <c:v>26.346205547916689</c:v>
                </c:pt>
                <c:pt idx="4">
                  <c:v>27.55434034165793</c:v>
                </c:pt>
                <c:pt idx="5">
                  <c:v>29.004102094147413</c:v>
                </c:pt>
                <c:pt idx="6">
                  <c:v>34.430733241080524</c:v>
                </c:pt>
                <c:pt idx="7">
                  <c:v>31.065689907320529</c:v>
                </c:pt>
                <c:pt idx="8">
                  <c:v>27.609759368893762</c:v>
                </c:pt>
                <c:pt idx="9">
                  <c:v>26.350639070095561</c:v>
                </c:pt>
                <c:pt idx="10">
                  <c:v>27.94005677121935</c:v>
                </c:pt>
                <c:pt idx="11">
                  <c:v>31.327267715873674</c:v>
                </c:pt>
                <c:pt idx="12">
                  <c:v>33.934178757047427</c:v>
                </c:pt>
                <c:pt idx="13">
                  <c:v>37.913264912580495</c:v>
                </c:pt>
                <c:pt idx="14">
                  <c:v>40.136676285282256</c:v>
                </c:pt>
                <c:pt idx="15">
                  <c:v>41.103184120275252</c:v>
                </c:pt>
                <c:pt idx="16">
                  <c:v>40.78618728448626</c:v>
                </c:pt>
                <c:pt idx="17">
                  <c:v>41.052198615218273</c:v>
                </c:pt>
                <c:pt idx="18">
                  <c:v>44.09802835209986</c:v>
                </c:pt>
                <c:pt idx="19">
                  <c:v>47.589427067957551</c:v>
                </c:pt>
                <c:pt idx="20">
                  <c:v>52.530587536304736</c:v>
                </c:pt>
                <c:pt idx="21">
                  <c:v>51.60619816201099</c:v>
                </c:pt>
                <c:pt idx="22">
                  <c:v>52.692411095833378</c:v>
                </c:pt>
                <c:pt idx="23">
                  <c:v>57.768793990636006</c:v>
                </c:pt>
                <c:pt idx="24">
                  <c:v>60.273734021695823</c:v>
                </c:pt>
                <c:pt idx="25">
                  <c:v>63.953557430155378</c:v>
                </c:pt>
                <c:pt idx="26">
                  <c:v>66.724508791947201</c:v>
                </c:pt>
                <c:pt idx="27">
                  <c:v>70.759013974716098</c:v>
                </c:pt>
                <c:pt idx="28">
                  <c:v>70.56615575993537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16-4E4B-8628-F7355B48C523}"/>
            </c:ext>
          </c:extLst>
        </c:ser>
        <c:ser>
          <c:idx val="1"/>
          <c:order val="1"/>
          <c:tx>
            <c:v>Agricultural Capital Stock, baseline</c:v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FarmCapital!$A$4:$A$32</c:f>
              <c:numCache>
                <c:formatCode>General</c:formatCode>
                <c:ptCount val="29"/>
                <c:pt idx="0">
                  <c:v>1952</c:v>
                </c:pt>
                <c:pt idx="1">
                  <c:v>1953</c:v>
                </c:pt>
                <c:pt idx="2">
                  <c:v>1954</c:v>
                </c:pt>
                <c:pt idx="3">
                  <c:v>1955</c:v>
                </c:pt>
                <c:pt idx="4">
                  <c:v>1956</c:v>
                </c:pt>
                <c:pt idx="5">
                  <c:v>1957</c:v>
                </c:pt>
                <c:pt idx="6">
                  <c:v>1958</c:v>
                </c:pt>
                <c:pt idx="7">
                  <c:v>1959</c:v>
                </c:pt>
                <c:pt idx="8">
                  <c:v>1960</c:v>
                </c:pt>
                <c:pt idx="9">
                  <c:v>1961</c:v>
                </c:pt>
                <c:pt idx="10">
                  <c:v>1962</c:v>
                </c:pt>
                <c:pt idx="11">
                  <c:v>1963</c:v>
                </c:pt>
                <c:pt idx="12">
                  <c:v>1964</c:v>
                </c:pt>
                <c:pt idx="13">
                  <c:v>1965</c:v>
                </c:pt>
                <c:pt idx="14">
                  <c:v>1966</c:v>
                </c:pt>
                <c:pt idx="15">
                  <c:v>1967</c:v>
                </c:pt>
                <c:pt idx="16">
                  <c:v>1968</c:v>
                </c:pt>
                <c:pt idx="17">
                  <c:v>1969</c:v>
                </c:pt>
                <c:pt idx="18">
                  <c:v>1970</c:v>
                </c:pt>
                <c:pt idx="19">
                  <c:v>1971</c:v>
                </c:pt>
                <c:pt idx="20">
                  <c:v>1972</c:v>
                </c:pt>
                <c:pt idx="21">
                  <c:v>1973</c:v>
                </c:pt>
                <c:pt idx="22">
                  <c:v>1974</c:v>
                </c:pt>
                <c:pt idx="23">
                  <c:v>1975</c:v>
                </c:pt>
                <c:pt idx="24">
                  <c:v>1976</c:v>
                </c:pt>
                <c:pt idx="25">
                  <c:v>1977</c:v>
                </c:pt>
                <c:pt idx="26">
                  <c:v>1978</c:v>
                </c:pt>
                <c:pt idx="27">
                  <c:v>1979</c:v>
                </c:pt>
                <c:pt idx="28">
                  <c:v>1980</c:v>
                </c:pt>
              </c:numCache>
            </c:numRef>
          </c:xVal>
          <c:yVal>
            <c:numRef>
              <c:f>FarmCapital!$F$4:$F$32</c:f>
              <c:numCache>
                <c:formatCode>0.00</c:formatCode>
                <c:ptCount val="29"/>
                <c:pt idx="0">
                  <c:v>22.91460557219942</c:v>
                </c:pt>
                <c:pt idx="1">
                  <c:v>19.647187934022465</c:v>
                </c:pt>
                <c:pt idx="2">
                  <c:v>17.347368578517774</c:v>
                </c:pt>
                <c:pt idx="3">
                  <c:v>16.174565428528016</c:v>
                </c:pt>
                <c:pt idx="4">
                  <c:v>14.955166459655214</c:v>
                </c:pt>
                <c:pt idx="5">
                  <c:v>14.633716415053366</c:v>
                </c:pt>
                <c:pt idx="6">
                  <c:v>14.169061250479603</c:v>
                </c:pt>
                <c:pt idx="7">
                  <c:v>17.456203414440068</c:v>
                </c:pt>
                <c:pt idx="8">
                  <c:v>22.60719211059925</c:v>
                </c:pt>
                <c:pt idx="9">
                  <c:v>28.66236404701948</c:v>
                </c:pt>
                <c:pt idx="10">
                  <c:v>28.063828436877426</c:v>
                </c:pt>
                <c:pt idx="11">
                  <c:v>26.740937353647627</c:v>
                </c:pt>
                <c:pt idx="12">
                  <c:v>25.616818096812342</c:v>
                </c:pt>
                <c:pt idx="13">
                  <c:v>26.42899058731388</c:v>
                </c:pt>
                <c:pt idx="14">
                  <c:v>28.606342189615777</c:v>
                </c:pt>
                <c:pt idx="15">
                  <c:v>31.387414070244205</c:v>
                </c:pt>
                <c:pt idx="16">
                  <c:v>33.228423106975484</c:v>
                </c:pt>
                <c:pt idx="17">
                  <c:v>33.198286386712205</c:v>
                </c:pt>
                <c:pt idx="18">
                  <c:v>34.767493524543951</c:v>
                </c:pt>
                <c:pt idx="19">
                  <c:v>39.943952647010875</c:v>
                </c:pt>
                <c:pt idx="20">
                  <c:v>45.675638939860143</c:v>
                </c:pt>
                <c:pt idx="21">
                  <c:v>50.827291168711604</c:v>
                </c:pt>
                <c:pt idx="22">
                  <c:v>54.741264203792099</c:v>
                </c:pt>
                <c:pt idx="23">
                  <c:v>57.768793990636006</c:v>
                </c:pt>
                <c:pt idx="24">
                  <c:v>61.199812514817765</c:v>
                </c:pt>
                <c:pt idx="25">
                  <c:v>63.034897204959918</c:v>
                </c:pt>
                <c:pt idx="26">
                  <c:v>63.912705753300216</c:v>
                </c:pt>
                <c:pt idx="27">
                  <c:v>71.759126004923601</c:v>
                </c:pt>
                <c:pt idx="28">
                  <c:v>79.535435365204577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16-4E4B-8628-F7355B48C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359400"/>
        <c:axId val="511352736"/>
      </c:scatterChart>
      <c:valAx>
        <c:axId val="511359400"/>
        <c:scaling>
          <c:orientation val="minMax"/>
          <c:max val="1980"/>
          <c:min val="195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352736"/>
        <c:crosses val="autoZero"/>
        <c:crossBetween val="midCat"/>
      </c:valAx>
      <c:valAx>
        <c:axId val="511352736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t" anchorCtr="0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Agricultural capital, </a:t>
                </a:r>
              </a:p>
              <a:p>
                <a:pPr>
                  <a:defRPr/>
                </a:pPr>
                <a:r>
                  <a:rPr lang="en-US"/>
                  <a:t>bln 1978 yuan</a:t>
                </a:r>
              </a:p>
            </c:rich>
          </c:tx>
          <c:layout>
            <c:manualLayout>
              <c:xMode val="edge"/>
              <c:yMode val="edge"/>
              <c:x val="8.7102177554438845E-2"/>
              <c:y val="1.550796656747020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t" anchorCtr="0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3594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Losses in Industrial Productivity Due to Third Front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ThirdFront!$X$19</c:f>
              <c:strCache>
                <c:ptCount val="1"/>
                <c:pt idx="0">
                  <c:v>Reallocation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ThirdFront!$F$20:$F$34</c:f>
              <c:numCache>
                <c:formatCode>General</c:formatCode>
                <c:ptCount val="15"/>
                <c:pt idx="0">
                  <c:v>1964</c:v>
                </c:pt>
                <c:pt idx="1">
                  <c:v>1965</c:v>
                </c:pt>
                <c:pt idx="2">
                  <c:v>1966</c:v>
                </c:pt>
                <c:pt idx="3">
                  <c:v>1967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1973</c:v>
                </c:pt>
                <c:pt idx="10">
                  <c:v>1974</c:v>
                </c:pt>
                <c:pt idx="11">
                  <c:v>1975</c:v>
                </c:pt>
                <c:pt idx="12">
                  <c:v>1976</c:v>
                </c:pt>
                <c:pt idx="13">
                  <c:v>1977</c:v>
                </c:pt>
                <c:pt idx="14">
                  <c:v>1978</c:v>
                </c:pt>
              </c:numCache>
            </c:numRef>
          </c:xVal>
          <c:yVal>
            <c:numRef>
              <c:f>ThirdFront!$X$20:$X$34</c:f>
              <c:numCache>
                <c:formatCode>0.00%</c:formatCode>
                <c:ptCount val="15"/>
                <c:pt idx="0">
                  <c:v>0</c:v>
                </c:pt>
                <c:pt idx="1">
                  <c:v>2.1221365206505194E-3</c:v>
                </c:pt>
                <c:pt idx="2">
                  <c:v>-9.8829104509190469E-4</c:v>
                </c:pt>
                <c:pt idx="3">
                  <c:v>-5.3208557594449646E-3</c:v>
                </c:pt>
                <c:pt idx="4">
                  <c:v>-7.8730400170282655E-3</c:v>
                </c:pt>
                <c:pt idx="5">
                  <c:v>-9.5411084292446047E-3</c:v>
                </c:pt>
                <c:pt idx="6">
                  <c:v>-1.2382583775660372E-2</c:v>
                </c:pt>
                <c:pt idx="7">
                  <c:v>-1.6189080136579159E-2</c:v>
                </c:pt>
                <c:pt idx="8">
                  <c:v>-1.3332319709301377E-2</c:v>
                </c:pt>
                <c:pt idx="9">
                  <c:v>-1.1174181276511597E-2</c:v>
                </c:pt>
                <c:pt idx="10">
                  <c:v>-9.2970997733263783E-3</c:v>
                </c:pt>
                <c:pt idx="11">
                  <c:v>-7.8337614147042656E-3</c:v>
                </c:pt>
                <c:pt idx="12">
                  <c:v>-6.5346260110037413E-3</c:v>
                </c:pt>
                <c:pt idx="13">
                  <c:v>-5.5629989055459017E-3</c:v>
                </c:pt>
                <c:pt idx="14">
                  <c:v>-4.7742475387203553E-3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FB-4FC2-8608-E72F743CAA90}"/>
            </c:ext>
          </c:extLst>
        </c:ser>
        <c:ser>
          <c:idx val="1"/>
          <c:order val="1"/>
          <c:tx>
            <c:strRef>
              <c:f>ThirdFront!$Y$19</c:f>
              <c:strCache>
                <c:ptCount val="1"/>
                <c:pt idx="0">
                  <c:v>Reallocation + waste</c:v>
                </c:pt>
              </c:strCache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ThirdFront!$F$20:$F$34</c:f>
              <c:numCache>
                <c:formatCode>General</c:formatCode>
                <c:ptCount val="15"/>
                <c:pt idx="0">
                  <c:v>1964</c:v>
                </c:pt>
                <c:pt idx="1">
                  <c:v>1965</c:v>
                </c:pt>
                <c:pt idx="2">
                  <c:v>1966</c:v>
                </c:pt>
                <c:pt idx="3">
                  <c:v>1967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1973</c:v>
                </c:pt>
                <c:pt idx="10">
                  <c:v>1974</c:v>
                </c:pt>
                <c:pt idx="11">
                  <c:v>1975</c:v>
                </c:pt>
                <c:pt idx="12">
                  <c:v>1976</c:v>
                </c:pt>
                <c:pt idx="13">
                  <c:v>1977</c:v>
                </c:pt>
                <c:pt idx="14">
                  <c:v>1978</c:v>
                </c:pt>
              </c:numCache>
            </c:numRef>
          </c:xVal>
          <c:yVal>
            <c:numRef>
              <c:f>ThirdFront!$Y$20:$Y$34</c:f>
              <c:numCache>
                <c:formatCode>0.00%</c:formatCode>
                <c:ptCount val="15"/>
                <c:pt idx="0">
                  <c:v>0</c:v>
                </c:pt>
                <c:pt idx="1">
                  <c:v>-4.7170205087937456E-3</c:v>
                </c:pt>
                <c:pt idx="2">
                  <c:v>-1.1565399790961828E-2</c:v>
                </c:pt>
                <c:pt idx="3">
                  <c:v>-1.7905536315674264E-2</c:v>
                </c:pt>
                <c:pt idx="4">
                  <c:v>-2.1278679611696383E-2</c:v>
                </c:pt>
                <c:pt idx="5">
                  <c:v>-2.3406809668714557E-2</c:v>
                </c:pt>
                <c:pt idx="6">
                  <c:v>-2.693434868958744E-2</c:v>
                </c:pt>
                <c:pt idx="7">
                  <c:v>-3.1521434580090379E-2</c:v>
                </c:pt>
                <c:pt idx="8">
                  <c:v>-2.5447640879227684E-2</c:v>
                </c:pt>
                <c:pt idx="9">
                  <c:v>-2.1051326658543479E-2</c:v>
                </c:pt>
                <c:pt idx="10">
                  <c:v>-1.7335679741386611E-2</c:v>
                </c:pt>
                <c:pt idx="11">
                  <c:v>-1.4498850937705976E-2</c:v>
                </c:pt>
                <c:pt idx="12">
                  <c:v>-1.2019330896412828E-2</c:v>
                </c:pt>
                <c:pt idx="13">
                  <c:v>-1.0186797810593617E-2</c:v>
                </c:pt>
                <c:pt idx="14">
                  <c:v>-8.7120296416346443E-3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FB-4FC2-8608-E72F743CAA90}"/>
            </c:ext>
          </c:extLst>
        </c:ser>
        <c:ser>
          <c:idx val="2"/>
          <c:order val="2"/>
          <c:tx>
            <c:strRef>
              <c:f>ThirdFront!$Z$19</c:f>
              <c:strCache>
                <c:ptCount val="1"/>
                <c:pt idx="0">
                  <c:v>Reallocation + waste + productivity</c:v>
                </c:pt>
              </c:strCache>
            </c:strRef>
          </c:tx>
          <c:spPr>
            <a:ln w="508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ThirdFront!$F$20:$F$34</c:f>
              <c:numCache>
                <c:formatCode>General</c:formatCode>
                <c:ptCount val="15"/>
                <c:pt idx="0">
                  <c:v>1964</c:v>
                </c:pt>
                <c:pt idx="1">
                  <c:v>1965</c:v>
                </c:pt>
                <c:pt idx="2">
                  <c:v>1966</c:v>
                </c:pt>
                <c:pt idx="3">
                  <c:v>1967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1973</c:v>
                </c:pt>
                <c:pt idx="10">
                  <c:v>1974</c:v>
                </c:pt>
                <c:pt idx="11">
                  <c:v>1975</c:v>
                </c:pt>
                <c:pt idx="12">
                  <c:v>1976</c:v>
                </c:pt>
                <c:pt idx="13">
                  <c:v>1977</c:v>
                </c:pt>
                <c:pt idx="14">
                  <c:v>1978</c:v>
                </c:pt>
              </c:numCache>
            </c:numRef>
          </c:xVal>
          <c:yVal>
            <c:numRef>
              <c:f>ThirdFront!$Z$20:$Z$34</c:f>
              <c:numCache>
                <c:formatCode>0.00%</c:formatCode>
                <c:ptCount val="15"/>
                <c:pt idx="0">
                  <c:v>0</c:v>
                </c:pt>
                <c:pt idx="1">
                  <c:v>-1.8720574899871001E-2</c:v>
                </c:pt>
                <c:pt idx="2">
                  <c:v>-2.8087545474814291E-2</c:v>
                </c:pt>
                <c:pt idx="3">
                  <c:v>-3.6078164456648909E-2</c:v>
                </c:pt>
                <c:pt idx="4">
                  <c:v>-4.0180637096732696E-2</c:v>
                </c:pt>
                <c:pt idx="5">
                  <c:v>-4.2730139300591996E-2</c:v>
                </c:pt>
                <c:pt idx="6">
                  <c:v>-4.6901911139679009E-2</c:v>
                </c:pt>
                <c:pt idx="7">
                  <c:v>-5.2243577770120564E-2</c:v>
                </c:pt>
                <c:pt idx="8">
                  <c:v>-4.6713725717335119E-2</c:v>
                </c:pt>
                <c:pt idx="9">
                  <c:v>-4.2694871717786631E-2</c:v>
                </c:pt>
                <c:pt idx="10">
                  <c:v>-3.9288673487862358E-2</c:v>
                </c:pt>
                <c:pt idx="11">
                  <c:v>-3.6682643352415778E-2</c:v>
                </c:pt>
                <c:pt idx="12">
                  <c:v>-3.4401212660066238E-2</c:v>
                </c:pt>
                <c:pt idx="13">
                  <c:v>-3.2713000753635368E-2</c:v>
                </c:pt>
                <c:pt idx="14">
                  <c:v>-3.1353141422006847E-2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FB-4FC2-8608-E72F743CA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0046936"/>
        <c:axId val="840047264"/>
      </c:scatterChart>
      <c:valAx>
        <c:axId val="840046936"/>
        <c:scaling>
          <c:orientation val="minMax"/>
          <c:max val="1978"/>
          <c:min val="196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0047264"/>
        <c:crossesAt val="-6.0000000000000012E-2"/>
        <c:crossBetween val="midCat"/>
      </c:valAx>
      <c:valAx>
        <c:axId val="84004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0046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228598</xdr:colOff>
      <xdr:row>4</xdr:row>
      <xdr:rowOff>110074</xdr:rowOff>
    </xdr:from>
    <xdr:to>
      <xdr:col>51</xdr:col>
      <xdr:colOff>431800</xdr:colOff>
      <xdr:row>31</xdr:row>
      <xdr:rowOff>38099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41274</xdr:colOff>
      <xdr:row>3</xdr:row>
      <xdr:rowOff>0</xdr:rowOff>
    </xdr:from>
    <xdr:to>
      <xdr:col>31</xdr:col>
      <xdr:colOff>19049</xdr:colOff>
      <xdr:row>21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263524</xdr:colOff>
      <xdr:row>1</xdr:row>
      <xdr:rowOff>304800</xdr:rowOff>
    </xdr:from>
    <xdr:to>
      <xdr:col>15</xdr:col>
      <xdr:colOff>463549</xdr:colOff>
      <xdr:row>20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342899</xdr:colOff>
      <xdr:row>34</xdr:row>
      <xdr:rowOff>80961</xdr:rowOff>
    </xdr:from>
    <xdr:to>
      <xdr:col>12</xdr:col>
      <xdr:colOff>285750</xdr:colOff>
      <xdr:row>61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73EEA7-A341-443E-888F-D1CDDE6D63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ownloads\DirectEvidence.xlsx" TargetMode="External"/><Relationship Id="rId1" Type="http://schemas.openxmlformats.org/officeDocument/2006/relationships/externalLinkPath" Target="/Downloads/DirectEvide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TF_TFP_missalloc"/>
      <sheetName val="DirectEvidence"/>
      <sheetName val="AltData"/>
    </sheetNames>
    <sheetDataSet>
      <sheetData sheetId="0"/>
      <sheetData sheetId="1"/>
      <sheetData sheetId="2">
        <row r="19">
          <cell r="X19" t="str">
            <v>Reallocation</v>
          </cell>
          <cell r="Y19" t="str">
            <v>Reallocation + waste</v>
          </cell>
          <cell r="Z19" t="str">
            <v>Reallocation + waste + productivity</v>
          </cell>
        </row>
        <row r="20">
          <cell r="F20">
            <v>1964</v>
          </cell>
          <cell r="X20">
            <v>0</v>
          </cell>
          <cell r="Y20">
            <v>0</v>
          </cell>
          <cell r="Z20">
            <v>0</v>
          </cell>
        </row>
        <row r="21">
          <cell r="F21">
            <v>1965</v>
          </cell>
          <cell r="X21">
            <v>2.1221365206505194E-3</v>
          </cell>
          <cell r="Y21">
            <v>-4.7170205087937456E-3</v>
          </cell>
          <cell r="Z21">
            <v>-1.8720574899871001E-2</v>
          </cell>
        </row>
        <row r="22">
          <cell r="F22">
            <v>1966</v>
          </cell>
          <cell r="X22">
            <v>-9.8829104509190469E-4</v>
          </cell>
          <cell r="Y22">
            <v>-1.1565399790961828E-2</v>
          </cell>
          <cell r="Z22">
            <v>-2.8087545474814291E-2</v>
          </cell>
        </row>
        <row r="23">
          <cell r="F23">
            <v>1967</v>
          </cell>
          <cell r="X23">
            <v>-5.3208557594449646E-3</v>
          </cell>
          <cell r="Y23">
            <v>-1.7905536315674264E-2</v>
          </cell>
          <cell r="Z23">
            <v>-3.6078164456648909E-2</v>
          </cell>
        </row>
        <row r="24">
          <cell r="F24">
            <v>1968</v>
          </cell>
          <cell r="X24">
            <v>-7.8730400170282655E-3</v>
          </cell>
          <cell r="Y24">
            <v>-2.1278679611696383E-2</v>
          </cell>
          <cell r="Z24">
            <v>-4.0180637096732696E-2</v>
          </cell>
        </row>
        <row r="25">
          <cell r="F25">
            <v>1969</v>
          </cell>
          <cell r="X25">
            <v>-9.5411084292446047E-3</v>
          </cell>
          <cell r="Y25">
            <v>-2.3406809668714557E-2</v>
          </cell>
          <cell r="Z25">
            <v>-4.2730139300591996E-2</v>
          </cell>
        </row>
        <row r="26">
          <cell r="F26">
            <v>1970</v>
          </cell>
          <cell r="X26">
            <v>-1.2382583775660372E-2</v>
          </cell>
          <cell r="Y26">
            <v>-2.693434868958744E-2</v>
          </cell>
          <cell r="Z26">
            <v>-4.6901911139679009E-2</v>
          </cell>
        </row>
        <row r="27">
          <cell r="F27">
            <v>1971</v>
          </cell>
          <cell r="X27">
            <v>-1.6189080136579159E-2</v>
          </cell>
          <cell r="Y27">
            <v>-3.1521434580090379E-2</v>
          </cell>
          <cell r="Z27">
            <v>-5.2243577770120564E-2</v>
          </cell>
        </row>
        <row r="28">
          <cell r="F28">
            <v>1972</v>
          </cell>
          <cell r="X28">
            <v>-1.3332319709301377E-2</v>
          </cell>
          <cell r="Y28">
            <v>-2.5447640879227684E-2</v>
          </cell>
          <cell r="Z28">
            <v>-4.6713725717335119E-2</v>
          </cell>
        </row>
        <row r="29">
          <cell r="F29">
            <v>1973</v>
          </cell>
          <cell r="X29">
            <v>-1.1174181276511597E-2</v>
          </cell>
          <cell r="Y29">
            <v>-2.1051326658543479E-2</v>
          </cell>
          <cell r="Z29">
            <v>-4.2694871717786631E-2</v>
          </cell>
        </row>
        <row r="30">
          <cell r="F30">
            <v>1974</v>
          </cell>
          <cell r="X30">
            <v>-9.2970997733263783E-3</v>
          </cell>
          <cell r="Y30">
            <v>-1.7335679741386611E-2</v>
          </cell>
          <cell r="Z30">
            <v>-3.9288673487862358E-2</v>
          </cell>
        </row>
        <row r="31">
          <cell r="F31">
            <v>1975</v>
          </cell>
          <cell r="X31">
            <v>-7.8337614147042656E-3</v>
          </cell>
          <cell r="Y31">
            <v>-1.4498850937705976E-2</v>
          </cell>
          <cell r="Z31">
            <v>-3.6682643352415778E-2</v>
          </cell>
        </row>
        <row r="32">
          <cell r="F32">
            <v>1976</v>
          </cell>
          <cell r="X32">
            <v>-6.5346260110037413E-3</v>
          </cell>
          <cell r="Y32">
            <v>-1.2019330896412828E-2</v>
          </cell>
          <cell r="Z32">
            <v>-3.4401212660066238E-2</v>
          </cell>
        </row>
        <row r="33">
          <cell r="F33">
            <v>1977</v>
          </cell>
          <cell r="X33">
            <v>-5.5629989055459017E-3</v>
          </cell>
          <cell r="Y33">
            <v>-1.0186797810593617E-2</v>
          </cell>
          <cell r="Z33">
            <v>-3.2713000753635368E-2</v>
          </cell>
        </row>
        <row r="34">
          <cell r="F34">
            <v>1978</v>
          </cell>
          <cell r="X34">
            <v>-4.7742475387203553E-3</v>
          </cell>
          <cell r="Y34">
            <v>-8.7120296416346443E-3</v>
          </cell>
          <cell r="Z34">
            <v>-3.1353141422006847E-2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68"/>
  <sheetViews>
    <sheetView view="pageBreakPreview" zoomScaleNormal="100" zoomScaleSheetLayoutView="100" workbookViewId="0">
      <pane xSplit="1" ySplit="4" topLeftCell="B5" activePane="bottomRight" state="frozen"/>
      <selection pane="topRight" activeCell="B1" sqref="B1"/>
      <selection pane="bottomLeft" activeCell="A2" sqref="A2"/>
      <selection pane="bottomRight" activeCell="I6" sqref="I6"/>
    </sheetView>
  </sheetViews>
  <sheetFormatPr defaultRowHeight="15"/>
  <cols>
    <col min="1" max="1" width="8.7109375" style="4"/>
    <col min="2" max="6" width="13.140625" customWidth="1"/>
    <col min="7" max="7" width="14.42578125" customWidth="1"/>
    <col min="8" max="8" width="13.140625" customWidth="1"/>
    <col min="9" max="9" width="14.42578125" customWidth="1"/>
    <col min="10" max="10" width="13.140625" customWidth="1"/>
    <col min="11" max="13" width="13.42578125" style="2" customWidth="1"/>
    <col min="14" max="16" width="12" customWidth="1"/>
    <col min="17" max="17" width="12.85546875" style="1" customWidth="1"/>
    <col min="18" max="18" width="12.7109375" style="7" customWidth="1"/>
    <col min="19" max="19" width="14.85546875" style="7" customWidth="1"/>
    <col min="20" max="20" width="11.5703125" customWidth="1"/>
    <col min="33" max="33" width="12.85546875" customWidth="1"/>
    <col min="38" max="38" width="11.7109375" bestFit="1" customWidth="1"/>
  </cols>
  <sheetData>
    <row r="1" spans="1:38">
      <c r="A1" s="4" t="s">
        <v>115</v>
      </c>
      <c r="B1" t="s">
        <v>162</v>
      </c>
    </row>
    <row r="2" spans="1:38">
      <c r="A2" s="11" t="s">
        <v>105</v>
      </c>
      <c r="B2" s="124" t="s">
        <v>143</v>
      </c>
      <c r="C2" s="124"/>
      <c r="D2" s="124"/>
      <c r="E2" s="124"/>
      <c r="F2" s="124"/>
      <c r="G2" s="124"/>
      <c r="H2" s="124"/>
      <c r="I2" s="124"/>
      <c r="J2" s="124"/>
      <c r="K2" s="124" t="s">
        <v>154</v>
      </c>
      <c r="L2" s="124"/>
      <c r="M2" s="124"/>
      <c r="N2" s="124" t="s">
        <v>143</v>
      </c>
      <c r="O2" s="124"/>
      <c r="P2" s="124"/>
      <c r="Q2" s="53" t="s">
        <v>178</v>
      </c>
      <c r="R2" s="13"/>
      <c r="S2" s="70"/>
      <c r="T2" s="53" t="s">
        <v>181</v>
      </c>
      <c r="U2" s="1"/>
      <c r="V2" s="7"/>
      <c r="W2" s="7"/>
    </row>
    <row r="3" spans="1:38" ht="45.4" customHeight="1">
      <c r="A3" s="96" t="s">
        <v>117</v>
      </c>
      <c r="B3" s="85" t="s">
        <v>142</v>
      </c>
      <c r="C3" s="85" t="s">
        <v>144</v>
      </c>
      <c r="D3" s="85" t="s">
        <v>145</v>
      </c>
      <c r="E3" s="85" t="s">
        <v>146</v>
      </c>
      <c r="F3" s="85" t="s">
        <v>147</v>
      </c>
      <c r="G3" s="85" t="s">
        <v>148</v>
      </c>
      <c r="H3" s="85" t="s">
        <v>12</v>
      </c>
      <c r="I3" s="85" t="s">
        <v>149</v>
      </c>
      <c r="J3" s="85" t="s">
        <v>150</v>
      </c>
      <c r="K3" s="85" t="s">
        <v>151</v>
      </c>
      <c r="L3" s="85" t="s">
        <v>152</v>
      </c>
      <c r="M3" s="85" t="s">
        <v>177</v>
      </c>
      <c r="N3" s="85" t="s">
        <v>155</v>
      </c>
      <c r="O3" s="85" t="s">
        <v>156</v>
      </c>
      <c r="P3" s="85" t="s">
        <v>157</v>
      </c>
      <c r="Q3" s="86" t="s">
        <v>1</v>
      </c>
      <c r="R3" s="85" t="s">
        <v>139</v>
      </c>
      <c r="S3" s="54" t="s">
        <v>179</v>
      </c>
      <c r="T3" s="54" t="s">
        <v>180</v>
      </c>
      <c r="U3" s="1"/>
      <c r="V3" s="7"/>
      <c r="W3" s="7"/>
    </row>
    <row r="4" spans="1:38">
      <c r="A4" s="76" t="s">
        <v>0</v>
      </c>
      <c r="B4" s="20" t="s">
        <v>17</v>
      </c>
      <c r="C4" s="20" t="s">
        <v>16</v>
      </c>
      <c r="D4" s="20" t="s">
        <v>19</v>
      </c>
      <c r="E4" s="20" t="s">
        <v>18</v>
      </c>
      <c r="F4" s="20" t="s">
        <v>20</v>
      </c>
      <c r="G4" s="20" t="s">
        <v>21</v>
      </c>
      <c r="H4" s="20" t="s">
        <v>22</v>
      </c>
      <c r="I4" s="20" t="s">
        <v>23</v>
      </c>
      <c r="J4" s="20" t="s">
        <v>52</v>
      </c>
      <c r="K4" s="38" t="s">
        <v>24</v>
      </c>
      <c r="L4" s="38" t="s">
        <v>25</v>
      </c>
      <c r="M4" s="38" t="s">
        <v>26</v>
      </c>
      <c r="N4" s="20" t="s">
        <v>27</v>
      </c>
      <c r="O4" s="20" t="s">
        <v>28</v>
      </c>
      <c r="P4" s="20" t="s">
        <v>29</v>
      </c>
      <c r="Q4" s="67" t="s">
        <v>85</v>
      </c>
      <c r="R4" s="66" t="s">
        <v>33</v>
      </c>
      <c r="S4" s="82" t="s">
        <v>84</v>
      </c>
      <c r="T4" s="88" t="s">
        <v>182</v>
      </c>
      <c r="X4" s="122" t="s">
        <v>92</v>
      </c>
      <c r="Y4" s="123"/>
      <c r="AA4" s="10"/>
      <c r="AB4" s="48" t="s">
        <v>95</v>
      </c>
      <c r="AC4" s="51" t="s">
        <v>96</v>
      </c>
      <c r="AD4" s="51" t="s">
        <v>240</v>
      </c>
      <c r="AE4" s="51" t="s">
        <v>241</v>
      </c>
      <c r="AF4" s="51" t="s">
        <v>242</v>
      </c>
      <c r="AG4" s="53" t="s">
        <v>243</v>
      </c>
      <c r="AH4" s="46"/>
      <c r="AI4" s="48" t="s">
        <v>97</v>
      </c>
      <c r="AJ4" s="51" t="s">
        <v>98</v>
      </c>
      <c r="AK4" s="51" t="s">
        <v>99</v>
      </c>
      <c r="AL4" s="53" t="s">
        <v>100</v>
      </c>
    </row>
    <row r="5" spans="1:38">
      <c r="A5" s="75">
        <v>1952</v>
      </c>
      <c r="B5" s="3">
        <f>Merge60_CSY!AG6</f>
        <v>77.330579997315709</v>
      </c>
      <c r="C5" s="3">
        <f>Merge60_CSY!AH6</f>
        <v>60.393161567214712</v>
      </c>
      <c r="D5" s="3">
        <f>Merge60_CSY!AI6</f>
        <v>58.922533632320565</v>
      </c>
      <c r="E5" s="3">
        <f>Merge60_CSY!AJ6</f>
        <v>1.4706279348941456</v>
      </c>
      <c r="F5" s="3">
        <f>Merge60_CSY!AK6</f>
        <v>16.937418430100998</v>
      </c>
      <c r="G5" s="3">
        <f>Merge60_CSY!BE6</f>
        <v>12.604253017976429</v>
      </c>
      <c r="H5" s="3">
        <f>Merge60_CSY!BF6</f>
        <v>7.8981428850628643E-2</v>
      </c>
      <c r="I5" s="3">
        <f>Merge60_CSY!AN6</f>
        <v>0.95741895933625554</v>
      </c>
      <c r="J5" s="3">
        <f>Merge60_CSY!AO6</f>
        <v>5.2116029426101953</v>
      </c>
      <c r="K5" s="5">
        <f>Merge60_CSY!AV6</f>
        <v>241.83317070133495</v>
      </c>
      <c r="L5" s="5">
        <f>Merge60_CSY!AW6</f>
        <v>202.02735380553898</v>
      </c>
      <c r="M5" s="5">
        <f>Merge60_CSY!AX6</f>
        <v>39.805816895795978</v>
      </c>
      <c r="N5" s="3">
        <f>Merge60_CSY!AS6</f>
        <v>52.581381586340264</v>
      </c>
      <c r="O5" s="3">
        <f>Merge60_CSY!AT6</f>
        <v>22.91460557219942</v>
      </c>
      <c r="P5" s="3">
        <f>Merge60_CSY!AU6</f>
        <v>29.666776014140844</v>
      </c>
      <c r="Q5" s="64">
        <f>Merge60_CSY!B6</f>
        <v>57482</v>
      </c>
      <c r="R5" s="6">
        <f>Merge60_CSY!AF6</f>
        <v>0.29135936201955215</v>
      </c>
      <c r="S5" s="81">
        <f>Wages!B4/Wages!C4</f>
        <v>0.83875652324264272</v>
      </c>
      <c r="T5" s="62">
        <f>B5/Q5/$V$26*$U$26</f>
        <v>297.70170224889711</v>
      </c>
      <c r="U5">
        <v>448</v>
      </c>
      <c r="V5">
        <f>B5/Q5</f>
        <v>1.3453007897657652E-3</v>
      </c>
      <c r="X5" s="68" t="s">
        <v>86</v>
      </c>
      <c r="Y5" s="27">
        <v>0.14000000000000001</v>
      </c>
      <c r="AA5" s="24">
        <f t="shared" ref="AA5:AA36" si="0">A5</f>
        <v>1952</v>
      </c>
      <c r="AB5" s="3">
        <f t="shared" ref="AB5:AB36" si="1">C5/O5^$Y$5/L5^$Y$6</f>
        <v>2.1018244263383017</v>
      </c>
      <c r="AC5" s="3">
        <f t="shared" ref="AC5:AC36" si="2">F5/P5^$Y$7/M5^$Y$8</f>
        <v>0.46473302143830159</v>
      </c>
      <c r="AD5" s="3">
        <f t="shared" ref="AD5:AD36" si="3">1/($Y$9/(1-$Y$9)*AL5/(AK5-$Y$10)/R5)</f>
        <v>3.6167288313904438</v>
      </c>
      <c r="AE5" s="3">
        <f t="shared" ref="AE5:AE36" si="4">AJ5/AI5/R5/AF5</f>
        <v>5.2151327715950897</v>
      </c>
      <c r="AF5" s="3">
        <f>1/S5</f>
        <v>1.1922411001156665</v>
      </c>
      <c r="AG5" s="62">
        <f>AF5*AE5*AD5</f>
        <v>22.487719060160003</v>
      </c>
      <c r="AH5" s="3"/>
      <c r="AI5" s="61">
        <f t="shared" ref="AI5:AI36" si="5">$Y$6*C5/L5</f>
        <v>0.16441456187136083</v>
      </c>
      <c r="AJ5" s="3">
        <f t="shared" ref="AJ5:AJ36" si="6">$Y$8*F5/M5</f>
        <v>0.2978507621664428</v>
      </c>
      <c r="AK5" s="3">
        <f t="shared" ref="AK5:AK36" si="7">D5/Q5*100</f>
        <v>0.10250606038815727</v>
      </c>
      <c r="AL5" s="62">
        <f t="shared" ref="AL5:AL36" si="8">G5/Q5*100</f>
        <v>2.1927304230848661E-2</v>
      </c>
    </row>
    <row r="6" spans="1:38">
      <c r="A6" s="75">
        <v>1953</v>
      </c>
      <c r="B6" s="3">
        <f>Merge60_CSY!AG7</f>
        <v>89.40655882211145</v>
      </c>
      <c r="C6" s="3">
        <f>Merge60_CSY!AH7</f>
        <v>61.528928301512302</v>
      </c>
      <c r="D6" s="3">
        <f>Merge60_CSY!AI7</f>
        <v>59.86513183364498</v>
      </c>
      <c r="E6" s="3">
        <f>Merge60_CSY!AJ7</f>
        <v>1.6637964678673181</v>
      </c>
      <c r="F6" s="3">
        <f>Merge60_CSY!AK7</f>
        <v>27.877630520599148</v>
      </c>
      <c r="G6" s="3">
        <f>Merge60_CSY!BE7</f>
        <v>21.232779204699568</v>
      </c>
      <c r="H6" s="3">
        <f>Merge60_CSY!BF7</f>
        <v>1.8329440565259165</v>
      </c>
      <c r="I6" s="3">
        <f>Merge60_CSY!AN7</f>
        <v>1.3607138459285311</v>
      </c>
      <c r="J6" s="3">
        <f>Merge60_CSY!AO7</f>
        <v>6.172621105302194</v>
      </c>
      <c r="K6" s="5">
        <f>Merge60_CSY!AV7</f>
        <v>249.24134588563462</v>
      </c>
      <c r="L6" s="5">
        <f>Merge60_CSY!AW7</f>
        <v>207.04391337915922</v>
      </c>
      <c r="M6" s="5">
        <f>Merge60_CSY!AX7</f>
        <v>42.197432506475401</v>
      </c>
      <c r="N6" s="3">
        <f>Merge60_CSY!AS7</f>
        <v>50.031293935873883</v>
      </c>
      <c r="O6" s="3">
        <f>Merge60_CSY!AT7</f>
        <v>19.647187934022465</v>
      </c>
      <c r="P6" s="3">
        <f>Merge60_CSY!AU7</f>
        <v>30.384106001851418</v>
      </c>
      <c r="Q6" s="64">
        <f>Merge60_CSY!B7</f>
        <v>58796</v>
      </c>
      <c r="R6" s="6">
        <f>Merge60_CSY!AF7</f>
        <v>0.3902469650954396</v>
      </c>
      <c r="S6" s="81">
        <f>Wages!B5/Wages!C5</f>
        <v>0.87038059685008062</v>
      </c>
      <c r="T6" s="62">
        <f t="shared" ref="T6:T65" si="9">B6/Q6/$V$26*$U$26</f>
        <v>336.49879949334752</v>
      </c>
      <c r="X6" s="24" t="s">
        <v>87</v>
      </c>
      <c r="Y6" s="28">
        <v>0.55000000000000004</v>
      </c>
      <c r="AA6" s="24">
        <f t="shared" si="0"/>
        <v>1953</v>
      </c>
      <c r="AB6" s="3">
        <f t="shared" si="1"/>
        <v>2.1586535055778349</v>
      </c>
      <c r="AC6" s="3">
        <f t="shared" si="2"/>
        <v>0.72905736233414786</v>
      </c>
      <c r="AD6" s="3">
        <f t="shared" si="3"/>
        <v>2.899279272781925</v>
      </c>
      <c r="AE6" s="3">
        <f t="shared" si="4"/>
        <v>6.3104156319854035</v>
      </c>
      <c r="AF6" s="3">
        <f t="shared" ref="AF6:AF65" si="10">1/S6</f>
        <v>1.1489226708626248</v>
      </c>
      <c r="AG6" s="62">
        <f t="shared" ref="AG6:AG65" si="11">AF6*AE6*AD6</f>
        <v>21.0202953864856</v>
      </c>
      <c r="AH6" s="3"/>
      <c r="AI6" s="61">
        <f t="shared" si="5"/>
        <v>0.1634479855674818</v>
      </c>
      <c r="AJ6" s="3">
        <f t="shared" si="6"/>
        <v>0.46245328697249127</v>
      </c>
      <c r="AK6" s="3">
        <f t="shared" si="7"/>
        <v>0.1018183751167511</v>
      </c>
      <c r="AL6" s="62">
        <f t="shared" si="8"/>
        <v>3.6112625356656179E-2</v>
      </c>
    </row>
    <row r="7" spans="1:38">
      <c r="A7" s="75">
        <v>1954</v>
      </c>
      <c r="B7" s="3">
        <f>Merge60_CSY!AG8</f>
        <v>93.173377905075256</v>
      </c>
      <c r="C7" s="3">
        <f>Merge60_CSY!AH8</f>
        <v>62.565932711088337</v>
      </c>
      <c r="D7" s="3">
        <f>Merge60_CSY!AI8</f>
        <v>60.6119197945401</v>
      </c>
      <c r="E7" s="3">
        <f>Merge60_CSY!AJ8</f>
        <v>1.9540129165482367</v>
      </c>
      <c r="F7" s="3">
        <f>Merge60_CSY!AK8</f>
        <v>30.607445193986919</v>
      </c>
      <c r="G7" s="3">
        <f>Merge60_CSY!BE8</f>
        <v>22.632402244467006</v>
      </c>
      <c r="H7" s="3">
        <f>Merge60_CSY!BF8</f>
        <v>3.5785564493469626</v>
      </c>
      <c r="I7" s="3">
        <f>Merge60_CSY!AN8</f>
        <v>1.1251738891691496</v>
      </c>
      <c r="J7" s="3">
        <f>Merge60_CSY!AO8</f>
        <v>5.5216603893421006</v>
      </c>
      <c r="K7" s="5">
        <f>Merge60_CSY!AV8</f>
        <v>254.70122932855153</v>
      </c>
      <c r="L7" s="5">
        <f>Merge60_CSY!AW8</f>
        <v>211.75714609483964</v>
      </c>
      <c r="M7" s="5">
        <f>Merge60_CSY!AX8</f>
        <v>42.944083233711908</v>
      </c>
      <c r="N7" s="3">
        <f>Merge60_CSY!AS8</f>
        <v>49.362673295606108</v>
      </c>
      <c r="O7" s="3">
        <f>Merge60_CSY!AT8</f>
        <v>17.347368578517774</v>
      </c>
      <c r="P7" s="3">
        <f>Merge60_CSY!AU8</f>
        <v>32.015304717088334</v>
      </c>
      <c r="Q7" s="64">
        <f>Merge60_CSY!B8</f>
        <v>60266</v>
      </c>
      <c r="R7" s="6">
        <f>Merge60_CSY!AF8</f>
        <v>0.41711775398046141</v>
      </c>
      <c r="S7" s="81">
        <f>Wages!B6/Wages!C6</f>
        <v>0.88228481581115015</v>
      </c>
      <c r="T7" s="62">
        <f t="shared" si="9"/>
        <v>342.12230881802236</v>
      </c>
      <c r="X7" s="24" t="s">
        <v>88</v>
      </c>
      <c r="Y7" s="28">
        <v>0.3</v>
      </c>
      <c r="AA7" s="24">
        <f t="shared" si="0"/>
        <v>1954</v>
      </c>
      <c r="AB7" s="3">
        <f t="shared" si="1"/>
        <v>2.2061461367229858</v>
      </c>
      <c r="AC7" s="3">
        <f t="shared" si="2"/>
        <v>0.77837244553873197</v>
      </c>
      <c r="AD7" s="3">
        <f t="shared" si="3"/>
        <v>2.9016348567728456</v>
      </c>
      <c r="AE7" s="3">
        <f t="shared" si="4"/>
        <v>6.4939565250681524</v>
      </c>
      <c r="AF7" s="3">
        <f t="shared" si="10"/>
        <v>1.1334208433368826</v>
      </c>
      <c r="AG7" s="62">
        <f t="shared" si="11"/>
        <v>21.357151651965538</v>
      </c>
      <c r="AH7" s="3"/>
      <c r="AI7" s="61">
        <f t="shared" si="5"/>
        <v>0.16250343200076384</v>
      </c>
      <c r="AJ7" s="3">
        <f t="shared" si="6"/>
        <v>0.49890951261410676</v>
      </c>
      <c r="AK7" s="3">
        <f t="shared" si="7"/>
        <v>0.10057398830939518</v>
      </c>
      <c r="AL7" s="62">
        <f t="shared" si="8"/>
        <v>3.7554180208520568E-2</v>
      </c>
    </row>
    <row r="8" spans="1:38">
      <c r="A8" s="75">
        <v>1955</v>
      </c>
      <c r="B8" s="3">
        <f>Merge60_CSY!AG9</f>
        <v>99.554812586802171</v>
      </c>
      <c r="C8" s="3">
        <f>Merge60_CSY!AH9</f>
        <v>67.520509334618367</v>
      </c>
      <c r="D8" s="3">
        <f>Merge60_CSY!AI9</f>
        <v>65.165137476562862</v>
      </c>
      <c r="E8" s="3">
        <f>Merge60_CSY!AJ9</f>
        <v>2.3553718580555079</v>
      </c>
      <c r="F8" s="3">
        <f>Merge60_CSY!AK9</f>
        <v>32.034303252183804</v>
      </c>
      <c r="G8" s="3">
        <f>Merge60_CSY!BE9</f>
        <v>23.492525627034663</v>
      </c>
      <c r="H8" s="3">
        <f>Merge60_CSY!BF9</f>
        <v>2.1722925430200895</v>
      </c>
      <c r="I8" s="3">
        <f>Merge60_CSY!AN9</f>
        <v>1.7940095499887252</v>
      </c>
      <c r="J8" s="3">
        <f>Merge60_CSY!AO9</f>
        <v>8.1634946321177768</v>
      </c>
      <c r="K8" s="5">
        <f>Merge60_CSY!AV9</f>
        <v>260.48777246463442</v>
      </c>
      <c r="L8" s="5">
        <f>Merge60_CSY!AW9</f>
        <v>216.90203626220364</v>
      </c>
      <c r="M8" s="5">
        <f>Merge60_CSY!AX9</f>
        <v>43.585736202430766</v>
      </c>
      <c r="N8" s="3">
        <f>Merge60_CSY!AS9</f>
        <v>50.473096080172759</v>
      </c>
      <c r="O8" s="3">
        <f>Merge60_CSY!AT9</f>
        <v>16.174565428528016</v>
      </c>
      <c r="P8" s="3">
        <f>Merge60_CSY!AU9</f>
        <v>34.298530651644739</v>
      </c>
      <c r="Q8" s="64">
        <f>Merge60_CSY!B9</f>
        <v>61465</v>
      </c>
      <c r="R8" s="6">
        <f>Merge60_CSY!AF9</f>
        <v>0.41466374010851614</v>
      </c>
      <c r="S8" s="81">
        <f>Wages!B7/Wages!C7</f>
        <v>0.86002532074859139</v>
      </c>
      <c r="T8" s="62">
        <f t="shared" si="9"/>
        <v>358.42334943701172</v>
      </c>
      <c r="X8" s="24" t="s">
        <v>89</v>
      </c>
      <c r="Y8" s="28">
        <v>0.7</v>
      </c>
      <c r="AA8" s="24">
        <f t="shared" si="0"/>
        <v>1955</v>
      </c>
      <c r="AB8" s="3">
        <f t="shared" si="1"/>
        <v>2.372761826418345</v>
      </c>
      <c r="AC8" s="3">
        <f t="shared" si="2"/>
        <v>0.78975349716648946</v>
      </c>
      <c r="AD8" s="3">
        <f t="shared" si="3"/>
        <v>3.1690459278174017</v>
      </c>
      <c r="AE8" s="3">
        <f t="shared" si="4"/>
        <v>6.2323142543917127</v>
      </c>
      <c r="AF8" s="3">
        <f t="shared" si="10"/>
        <v>1.1627564629487543</v>
      </c>
      <c r="AG8" s="62">
        <f t="shared" si="11"/>
        <v>22.965010020364279</v>
      </c>
      <c r="AH8" s="3"/>
      <c r="AI8" s="61">
        <f t="shared" si="5"/>
        <v>0.17121222453231208</v>
      </c>
      <c r="AJ8" s="3">
        <f t="shared" si="6"/>
        <v>0.51448052115907772</v>
      </c>
      <c r="AK8" s="3">
        <f t="shared" si="7"/>
        <v>0.10601990966657912</v>
      </c>
      <c r="AL8" s="62">
        <f t="shared" si="8"/>
        <v>3.8220980439330775E-2</v>
      </c>
    </row>
    <row r="9" spans="1:38">
      <c r="A9" s="75">
        <v>1956</v>
      </c>
      <c r="B9" s="3">
        <f>Merge60_CSY!AG10</f>
        <v>114.51130012209963</v>
      </c>
      <c r="C9" s="3">
        <f>Merge60_CSY!AH10</f>
        <v>70.664443338253676</v>
      </c>
      <c r="D9" s="3">
        <f>Merge60_CSY!AI10</f>
        <v>67.93897365221892</v>
      </c>
      <c r="E9" s="3">
        <f>Merge60_CSY!AJ10</f>
        <v>2.7254696860347543</v>
      </c>
      <c r="F9" s="3">
        <f>Merge60_CSY!AK10</f>
        <v>43.846856783845951</v>
      </c>
      <c r="G9" s="3">
        <f>Merge60_CSY!BE10</f>
        <v>31.231056535680548</v>
      </c>
      <c r="H9" s="3">
        <f>Merge60_CSY!BF10</f>
        <v>5.8142331945037409</v>
      </c>
      <c r="I9" s="3">
        <f>Merge60_CSY!AN10</f>
        <v>1.0997126547632112</v>
      </c>
      <c r="J9" s="3">
        <f>Merge60_CSY!AO10</f>
        <v>7.9012797084248731</v>
      </c>
      <c r="K9" s="5">
        <f>Merge60_CSY!AV10</f>
        <v>268.53760061765297</v>
      </c>
      <c r="L9" s="5">
        <f>Merge60_CSY!AW10</f>
        <v>216.34204821677628</v>
      </c>
      <c r="M9" s="5">
        <f>Merge60_CSY!AX10</f>
        <v>52.195552400876679</v>
      </c>
      <c r="N9" s="3">
        <f>Merge60_CSY!AS10</f>
        <v>50.121733819184207</v>
      </c>
      <c r="O9" s="3">
        <f>Merge60_CSY!AT10</f>
        <v>14.955166459655214</v>
      </c>
      <c r="P9" s="3">
        <f>Merge60_CSY!AU10</f>
        <v>35.166567359528997</v>
      </c>
      <c r="Q9" s="64">
        <f>Merge60_CSY!B10</f>
        <v>62828</v>
      </c>
      <c r="R9" s="6">
        <f>Merge60_CSY!AF10</f>
        <v>0.47824455881117073</v>
      </c>
      <c r="S9" s="81">
        <f>Wages!B8/Wages!C8</f>
        <v>0.81105361225230843</v>
      </c>
      <c r="T9" s="62">
        <f t="shared" si="9"/>
        <v>403.32675408684918</v>
      </c>
      <c r="X9" s="24" t="s">
        <v>90</v>
      </c>
      <c r="Y9" s="28">
        <v>0.15</v>
      </c>
      <c r="AA9" s="24">
        <f t="shared" si="0"/>
        <v>1956</v>
      </c>
      <c r="AB9" s="3">
        <f t="shared" si="1"/>
        <v>2.5142163805135169</v>
      </c>
      <c r="AC9" s="3">
        <f t="shared" si="2"/>
        <v>0.94570573688042481</v>
      </c>
      <c r="AD9" s="3">
        <f t="shared" si="3"/>
        <v>2.9255927567241771</v>
      </c>
      <c r="AE9" s="3">
        <f t="shared" si="4"/>
        <v>5.5511100651665144</v>
      </c>
      <c r="AF9" s="3">
        <f t="shared" si="10"/>
        <v>1.2329641159269169</v>
      </c>
      <c r="AG9" s="62">
        <f t="shared" si="11"/>
        <v>20.023691594604085</v>
      </c>
      <c r="AH9" s="3"/>
      <c r="AI9" s="61">
        <f t="shared" si="5"/>
        <v>0.17964812738158081</v>
      </c>
      <c r="AJ9" s="3">
        <f t="shared" si="6"/>
        <v>0.58803477187026854</v>
      </c>
      <c r="AK9" s="3">
        <f t="shared" si="7"/>
        <v>0.10813486606643363</v>
      </c>
      <c r="AL9" s="62">
        <f t="shared" si="8"/>
        <v>4.9708818577195751E-2</v>
      </c>
    </row>
    <row r="10" spans="1:38">
      <c r="A10" s="75">
        <v>1957</v>
      </c>
      <c r="B10" s="3">
        <f>Merge60_CSY!AG11</f>
        <v>120.30555418207048</v>
      </c>
      <c r="C10" s="3">
        <f>Merge60_CSY!AH11</f>
        <v>72.837214482127322</v>
      </c>
      <c r="D10" s="3">
        <f>Merge60_CSY!AI11</f>
        <v>70.400838337911736</v>
      </c>
      <c r="E10" s="3">
        <f>Merge60_CSY!AJ11</f>
        <v>2.4363761442155916</v>
      </c>
      <c r="F10" s="3">
        <f>Merge60_CSY!AK11</f>
        <v>47.468339699943158</v>
      </c>
      <c r="G10" s="3">
        <f>Merge60_CSY!BE11</f>
        <v>33.925607360941406</v>
      </c>
      <c r="H10" s="3">
        <f>Merge60_CSY!BF11</f>
        <v>6.9520388239312281</v>
      </c>
      <c r="I10" s="3">
        <f>Merge60_CSY!AN11</f>
        <v>0.74794529003577526</v>
      </c>
      <c r="J10" s="3">
        <f>Merge60_CSY!AO11</f>
        <v>7.3386388051062994</v>
      </c>
      <c r="K10" s="5">
        <f>Merge60_CSY!AV11</f>
        <v>277.32241308029495</v>
      </c>
      <c r="L10" s="5">
        <f>Merge60_CSY!AW11</f>
        <v>225.26685769077508</v>
      </c>
      <c r="M10" s="5">
        <f>Merge60_CSY!AX11</f>
        <v>52.055555389519832</v>
      </c>
      <c r="N10" s="3">
        <f>Merge60_CSY!AS11</f>
        <v>53.429880322728735</v>
      </c>
      <c r="O10" s="3">
        <f>Merge60_CSY!AT11</f>
        <v>14.633716415053366</v>
      </c>
      <c r="P10" s="3">
        <f>Merge60_CSY!AU11</f>
        <v>38.796163907675371</v>
      </c>
      <c r="Q10" s="64">
        <f>Merge60_CSY!B11</f>
        <v>64653</v>
      </c>
      <c r="R10" s="6">
        <f>Merge60_CSY!AF11</f>
        <v>0.44496650614276995</v>
      </c>
      <c r="S10" s="81">
        <f>Wages!B9/Wages!C9</f>
        <v>0.77851825846242639</v>
      </c>
      <c r="T10" s="62">
        <f t="shared" si="9"/>
        <v>411.77399620136458</v>
      </c>
      <c r="X10" s="24" t="s">
        <v>91</v>
      </c>
      <c r="Y10" s="28">
        <f>Y14*AK13</f>
        <v>5.4472525732245189E-2</v>
      </c>
      <c r="AA10" s="24">
        <f t="shared" si="0"/>
        <v>1957</v>
      </c>
      <c r="AB10" s="3">
        <f t="shared" si="1"/>
        <v>2.5422611706525018</v>
      </c>
      <c r="AC10" s="3">
        <f t="shared" si="2"/>
        <v>0.99595667569138102</v>
      </c>
      <c r="AD10" s="3">
        <f t="shared" si="3"/>
        <v>2.6149098616020026</v>
      </c>
      <c r="AE10" s="3">
        <f t="shared" si="4"/>
        <v>6.2799727736173594</v>
      </c>
      <c r="AF10" s="3">
        <f t="shared" si="10"/>
        <v>1.284491390060652</v>
      </c>
      <c r="AG10" s="62">
        <f t="shared" si="11"/>
        <v>21.093355946149163</v>
      </c>
      <c r="AH10" s="3"/>
      <c r="AI10" s="61">
        <f t="shared" si="5"/>
        <v>0.17783560518325883</v>
      </c>
      <c r="AJ10" s="3">
        <f t="shared" si="6"/>
        <v>0.63831492222729913</v>
      </c>
      <c r="AK10" s="3">
        <f t="shared" si="7"/>
        <v>0.10889028867633634</v>
      </c>
      <c r="AL10" s="62">
        <f t="shared" si="8"/>
        <v>5.2473369156793043E-2</v>
      </c>
    </row>
    <row r="11" spans="1:38">
      <c r="A11" s="75">
        <v>1958</v>
      </c>
      <c r="B11" s="3">
        <f>Merge60_CSY!AG12</f>
        <v>145.87611672825957</v>
      </c>
      <c r="C11" s="3">
        <f>Merge60_CSY!AH12</f>
        <v>73.15912820047123</v>
      </c>
      <c r="D11" s="3">
        <f>Merge60_CSY!AI12</f>
        <v>69.79751400189221</v>
      </c>
      <c r="E11" s="3">
        <f>Merge60_CSY!AJ12</f>
        <v>3.361614198579014</v>
      </c>
      <c r="F11" s="3">
        <f>Merge60_CSY!AK12</f>
        <v>72.716988527788345</v>
      </c>
      <c r="G11" s="3">
        <f>Merge60_CSY!BE12</f>
        <v>40.261388408774387</v>
      </c>
      <c r="H11" s="3">
        <f>Merge60_CSY!BF12</f>
        <v>27.19355852458213</v>
      </c>
      <c r="I11" s="3">
        <f>Merge60_CSY!AN12</f>
        <v>1.3023836583398543</v>
      </c>
      <c r="J11" s="3">
        <f>Merge60_CSY!AO12</f>
        <v>6.5644252527716809</v>
      </c>
      <c r="K11" s="5">
        <f>Merge60_CSY!AV12</f>
        <v>310.3267085076709</v>
      </c>
      <c r="L11" s="5">
        <f>Merge60_CSY!AW12</f>
        <v>180.71280882645948</v>
      </c>
      <c r="M11" s="5">
        <f>Merge60_CSY!AX12</f>
        <v>129.61389968121142</v>
      </c>
      <c r="N11" s="3">
        <f>Merge60_CSY!AS12</f>
        <v>57.710425130523518</v>
      </c>
      <c r="O11" s="3">
        <f>Merge60_CSY!AT12</f>
        <v>14.169061250479603</v>
      </c>
      <c r="P11" s="3">
        <f>Merge60_CSY!AU12</f>
        <v>43.541363880043917</v>
      </c>
      <c r="Q11" s="64">
        <f>Merge60_CSY!B12</f>
        <v>65994</v>
      </c>
      <c r="R11" s="6">
        <f>Merge60_CSY!AF12</f>
        <v>0.52100144363566636</v>
      </c>
      <c r="S11" s="81">
        <f>Wages!B10/Wages!C10</f>
        <v>0.85089883439245928</v>
      </c>
      <c r="T11" s="62">
        <f t="shared" si="9"/>
        <v>489.14955423320788</v>
      </c>
      <c r="X11" s="24" t="s">
        <v>93</v>
      </c>
      <c r="Y11" s="28">
        <v>0.96</v>
      </c>
      <c r="AA11" s="24">
        <f t="shared" si="0"/>
        <v>1958</v>
      </c>
      <c r="AB11" s="3">
        <f t="shared" si="1"/>
        <v>2.8955885843223532</v>
      </c>
      <c r="AC11" s="3">
        <f t="shared" si="2"/>
        <v>0.77823215696300652</v>
      </c>
      <c r="AD11" s="3">
        <f t="shared" si="3"/>
        <v>2.4821190226816672</v>
      </c>
      <c r="AE11" s="3">
        <f t="shared" si="4"/>
        <v>2.8805742538516874</v>
      </c>
      <c r="AF11" s="3">
        <f t="shared" si="10"/>
        <v>1.1752278409383399</v>
      </c>
      <c r="AG11" s="62">
        <f t="shared" si="11"/>
        <v>8.402794624624633</v>
      </c>
      <c r="AH11" s="3"/>
      <c r="AI11" s="61">
        <f t="shared" si="5"/>
        <v>0.22266003595184955</v>
      </c>
      <c r="AJ11" s="3">
        <f t="shared" si="6"/>
        <v>0.39271939270900957</v>
      </c>
      <c r="AK11" s="3">
        <f t="shared" si="7"/>
        <v>0.10576342395049886</v>
      </c>
      <c r="AL11" s="62">
        <f t="shared" si="8"/>
        <v>6.1007649799639949E-2</v>
      </c>
    </row>
    <row r="12" spans="1:38">
      <c r="A12" s="75">
        <v>1959</v>
      </c>
      <c r="B12" s="3">
        <f>Merge60_CSY!AG13</f>
        <v>158.74024995634238</v>
      </c>
      <c r="C12" s="3">
        <f>Merge60_CSY!AH13</f>
        <v>61.553291512809643</v>
      </c>
      <c r="D12" s="3">
        <f>Merge60_CSY!AI13</f>
        <v>57.891985917775983</v>
      </c>
      <c r="E12" s="3">
        <f>Merge60_CSY!AJ13</f>
        <v>3.6613055950336624</v>
      </c>
      <c r="F12" s="3">
        <f>Merge60_CSY!AK13</f>
        <v>97.186958443532745</v>
      </c>
      <c r="G12" s="3">
        <f>Merge60_CSY!BE13</f>
        <v>53.40496834739357</v>
      </c>
      <c r="H12" s="3">
        <f>Merge60_CSY!BF13</f>
        <v>37.810111201828292</v>
      </c>
      <c r="I12" s="3">
        <f>Merge60_CSY!AN13</f>
        <v>1.4889128536372112</v>
      </c>
      <c r="J12" s="3">
        <f>Merge60_CSY!AO13</f>
        <v>7.4607917479480923</v>
      </c>
      <c r="K12" s="5">
        <f>Merge60_CSY!AV13</f>
        <v>305.3451481868899</v>
      </c>
      <c r="L12" s="5">
        <f>Merge60_CSY!AW13</f>
        <v>189.82428098226742</v>
      </c>
      <c r="M12" s="5">
        <f>Merge60_CSY!AX13</f>
        <v>115.52086720462245</v>
      </c>
      <c r="N12" s="3">
        <f>Merge60_CSY!AS13</f>
        <v>82.018462398579473</v>
      </c>
      <c r="O12" s="3">
        <f>Merge60_CSY!AT13</f>
        <v>17.456203414440068</v>
      </c>
      <c r="P12" s="3">
        <f>Merge60_CSY!AU13</f>
        <v>64.562258984139405</v>
      </c>
      <c r="Q12" s="64">
        <f>Merge60_CSY!B13</f>
        <v>67207</v>
      </c>
      <c r="R12" s="6">
        <f>Merge60_CSY!AF13</f>
        <v>0.58057899242063304</v>
      </c>
      <c r="S12" s="81">
        <f>Wages!B11/Wages!C11</f>
        <v>0.77305150997465655</v>
      </c>
      <c r="T12" s="62">
        <f t="shared" si="9"/>
        <v>522.67830120848737</v>
      </c>
      <c r="X12" s="25" t="s">
        <v>94</v>
      </c>
      <c r="Y12" s="30">
        <v>0.05</v>
      </c>
      <c r="AA12" s="24">
        <f t="shared" si="0"/>
        <v>1959</v>
      </c>
      <c r="AB12" s="3">
        <f t="shared" si="1"/>
        <v>2.3029517570839224</v>
      </c>
      <c r="AC12" s="3">
        <f t="shared" si="2"/>
        <v>1.0017331987283569</v>
      </c>
      <c r="AD12" s="3">
        <f t="shared" si="3"/>
        <v>1.3110906797115189</v>
      </c>
      <c r="AE12" s="3">
        <f t="shared" si="4"/>
        <v>4.3967371027268873</v>
      </c>
      <c r="AF12" s="3">
        <f t="shared" si="10"/>
        <v>1.2935748615674829</v>
      </c>
      <c r="AG12" s="62">
        <f t="shared" si="11"/>
        <v>7.4568395018283207</v>
      </c>
      <c r="AH12" s="3"/>
      <c r="AI12" s="61">
        <f t="shared" si="5"/>
        <v>0.17834552122026914</v>
      </c>
      <c r="AJ12" s="3">
        <f t="shared" si="6"/>
        <v>0.58890547272268678</v>
      </c>
      <c r="AK12" s="3">
        <f t="shared" si="7"/>
        <v>8.6139815670653319E-2</v>
      </c>
      <c r="AL12" s="62">
        <f t="shared" si="8"/>
        <v>7.9463401650711335E-2</v>
      </c>
    </row>
    <row r="13" spans="1:38">
      <c r="A13" s="75">
        <v>1960</v>
      </c>
      <c r="B13" s="3">
        <f>Merge60_CSY!AG14</f>
        <v>158.23334453141791</v>
      </c>
      <c r="C13" s="3">
        <f>Merge60_CSY!AH14</f>
        <v>51.472309280461218</v>
      </c>
      <c r="D13" s="3">
        <f>Merge60_CSY!AI14</f>
        <v>47.012814877553076</v>
      </c>
      <c r="E13" s="3">
        <f>Merge60_CSY!AJ14</f>
        <v>4.4594944029081436</v>
      </c>
      <c r="F13" s="3">
        <f>Merge60_CSY!AK14</f>
        <v>106.7610352509567</v>
      </c>
      <c r="G13" s="3">
        <f>Merge60_CSY!BE14</f>
        <v>61.903173973281362</v>
      </c>
      <c r="H13" s="3">
        <f>Merge60_CSY!BF14</f>
        <v>40.290168933346074</v>
      </c>
      <c r="I13" s="3">
        <f>Merge60_CSY!AN14</f>
        <v>3.0275081931787944</v>
      </c>
      <c r="J13" s="3">
        <f>Merge60_CSY!AO14</f>
        <v>7.5952005375080596</v>
      </c>
      <c r="K13" s="5">
        <f>Merge60_CSY!AV14</f>
        <v>301.92688782626027</v>
      </c>
      <c r="L13" s="5">
        <f>Merge60_CSY!AW14</f>
        <v>198.51576210400481</v>
      </c>
      <c r="M13" s="5">
        <f>Merge60_CSY!AX14</f>
        <v>103.41112572225545</v>
      </c>
      <c r="N13" s="3">
        <f>Merge60_CSY!AS14</f>
        <v>115.72765048047879</v>
      </c>
      <c r="O13" s="3">
        <f>Merge60_CSY!AT14</f>
        <v>22.60719211059925</v>
      </c>
      <c r="P13" s="3">
        <f>Merge60_CSY!AU14</f>
        <v>93.120458369879543</v>
      </c>
      <c r="Q13" s="64">
        <f>Merge60_CSY!B14</f>
        <v>66207</v>
      </c>
      <c r="R13" s="6">
        <f>Merge60_CSY!AF14</f>
        <v>0.64019813727172392</v>
      </c>
      <c r="S13" s="81">
        <f>Wages!B12/Wages!C12</f>
        <v>0.67227288577584199</v>
      </c>
      <c r="T13" s="62">
        <f t="shared" si="9"/>
        <v>528.87862995973319</v>
      </c>
      <c r="AA13" s="24">
        <f t="shared" si="0"/>
        <v>1960</v>
      </c>
      <c r="AB13" s="3">
        <f t="shared" si="1"/>
        <v>1.8121405481742958</v>
      </c>
      <c r="AC13" s="3">
        <f t="shared" si="2"/>
        <v>1.0653741595476887</v>
      </c>
      <c r="AD13" s="3">
        <f t="shared" si="3"/>
        <v>0.64161051397907398</v>
      </c>
      <c r="AE13" s="3">
        <f t="shared" si="4"/>
        <v>5.3214917447232644</v>
      </c>
      <c r="AF13" s="3">
        <f t="shared" si="10"/>
        <v>1.4874911976346359</v>
      </c>
      <c r="AG13" s="62">
        <f t="shared" si="11"/>
        <v>5.0787784628960049</v>
      </c>
      <c r="AH13" s="3"/>
      <c r="AI13" s="61">
        <f t="shared" si="5"/>
        <v>0.14260716531628276</v>
      </c>
      <c r="AJ13" s="3">
        <f t="shared" si="6"/>
        <v>0.72267586445571597</v>
      </c>
      <c r="AK13" s="3">
        <f t="shared" si="7"/>
        <v>7.1008828186676753E-2</v>
      </c>
      <c r="AL13" s="62">
        <f t="shared" si="8"/>
        <v>9.3499439595936026E-2</v>
      </c>
    </row>
    <row r="14" spans="1:38">
      <c r="A14" s="75">
        <v>1961</v>
      </c>
      <c r="B14" s="3">
        <f>Merge60_CSY!AG15</f>
        <v>114.99994406786109</v>
      </c>
      <c r="C14" s="3">
        <f>Merge60_CSY!AH15</f>
        <v>52.217793680836543</v>
      </c>
      <c r="D14" s="3">
        <f>Merge60_CSY!AI15</f>
        <v>52.883542550144298</v>
      </c>
      <c r="E14" s="3">
        <f>Merge60_CSY!AJ15</f>
        <v>-0.66574886930775801</v>
      </c>
      <c r="F14" s="3">
        <f>Merge60_CSY!AK15</f>
        <v>62.782150387024551</v>
      </c>
      <c r="G14" s="3">
        <f>Merge60_CSY!BE15</f>
        <v>52.253595655915582</v>
      </c>
      <c r="H14" s="3">
        <f>Merge60_CSY!BF15</f>
        <v>3.9391032127388446</v>
      </c>
      <c r="I14" s="3">
        <f>Merge60_CSY!AN15</f>
        <v>-0.83945431497706924</v>
      </c>
      <c r="J14" s="3">
        <f>Merge60_CSY!AO15</f>
        <v>5.7499972033930549</v>
      </c>
      <c r="K14" s="5">
        <f>Merge60_CSY!AV15</f>
        <v>298.54362671846985</v>
      </c>
      <c r="L14" s="5">
        <f>Merge60_CSY!AW15</f>
        <v>230.37674860529989</v>
      </c>
      <c r="M14" s="5">
        <f>Merge60_CSY!AX15</f>
        <v>68.166878113169957</v>
      </c>
      <c r="N14" s="3">
        <f>Merge60_CSY!AS15</f>
        <v>150.2314368898009</v>
      </c>
      <c r="O14" s="3">
        <f>Merge60_CSY!AT15</f>
        <v>28.66236404701948</v>
      </c>
      <c r="P14" s="3">
        <f>Merge60_CSY!AU15</f>
        <v>121.56907284278142</v>
      </c>
      <c r="Q14" s="64">
        <f>Merge60_CSY!B15</f>
        <v>65859</v>
      </c>
      <c r="R14" s="6">
        <f>Merge60_CSY!AF15</f>
        <v>0.68966427299783706</v>
      </c>
      <c r="S14" s="81">
        <f>Wages!B13/Wages!C13</f>
        <v>0.65026695361237163</v>
      </c>
      <c r="T14" s="62">
        <f t="shared" si="9"/>
        <v>386.40649504837779</v>
      </c>
      <c r="X14">
        <v>1960</v>
      </c>
      <c r="Y14">
        <f>0.056/0.073</f>
        <v>0.76712328767123295</v>
      </c>
      <c r="AA14" s="24">
        <f t="shared" si="0"/>
        <v>1961</v>
      </c>
      <c r="AB14" s="3">
        <f t="shared" si="1"/>
        <v>1.6385269251150905</v>
      </c>
      <c r="AC14" s="3">
        <f t="shared" si="2"/>
        <v>0.77426187011249714</v>
      </c>
      <c r="AD14" s="3">
        <f t="shared" si="3"/>
        <v>1.2720809979903025</v>
      </c>
      <c r="AE14" s="3">
        <f t="shared" si="4"/>
        <v>4.8760956314121948</v>
      </c>
      <c r="AF14" s="3">
        <f t="shared" si="10"/>
        <v>1.5378299549820065</v>
      </c>
      <c r="AG14" s="62">
        <f t="shared" si="11"/>
        <v>9.5388341090457764</v>
      </c>
      <c r="AH14" s="3"/>
      <c r="AI14" s="61">
        <f t="shared" si="5"/>
        <v>0.12466443205891913</v>
      </c>
      <c r="AJ14" s="3">
        <f t="shared" si="6"/>
        <v>0.64470467897849126</v>
      </c>
      <c r="AK14" s="3">
        <f t="shared" si="7"/>
        <v>8.0298125617067215E-2</v>
      </c>
      <c r="AL14" s="62">
        <f t="shared" si="8"/>
        <v>7.9341617175960139E-2</v>
      </c>
    </row>
    <row r="15" spans="1:38">
      <c r="A15" s="75">
        <v>1962</v>
      </c>
      <c r="B15" s="3">
        <f>Merge60_CSY!AG16</f>
        <v>108.54534832382305</v>
      </c>
      <c r="C15" s="3">
        <f>Merge60_CSY!AH16</f>
        <v>54.589789500212632</v>
      </c>
      <c r="D15" s="3">
        <f>Merge60_CSY!AI16</f>
        <v>55.175819694994722</v>
      </c>
      <c r="E15" s="3">
        <f>Merge60_CSY!AJ16</f>
        <v>-0.58603019478208773</v>
      </c>
      <c r="F15" s="3">
        <f>Merge60_CSY!AK16</f>
        <v>53.955558823610417</v>
      </c>
      <c r="G15" s="3">
        <f>Merge60_CSY!BE16</f>
        <v>45.715704181574459</v>
      </c>
      <c r="H15" s="3">
        <f>Merge60_CSY!BF16</f>
        <v>9.462205849920613E-2</v>
      </c>
      <c r="I15" s="3">
        <f>Merge60_CSY!AN16</f>
        <v>-1.4154209874597226</v>
      </c>
      <c r="J15" s="3">
        <f>Merge60_CSY!AO16</f>
        <v>6.7298115960770293</v>
      </c>
      <c r="K15" s="5">
        <f>Merge60_CSY!AV16</f>
        <v>302.27688035465241</v>
      </c>
      <c r="L15" s="5">
        <f>Merge60_CSY!AW16</f>
        <v>248.21470113568444</v>
      </c>
      <c r="M15" s="5">
        <f>Merge60_CSY!AX16</f>
        <v>54.062179218967934</v>
      </c>
      <c r="N15" s="3">
        <f>Merge60_CSY!AS16</f>
        <v>146.6589682580497</v>
      </c>
      <c r="O15" s="3">
        <f>Merge60_CSY!AT16</f>
        <v>28.063828436877426</v>
      </c>
      <c r="P15" s="3">
        <f>Merge60_CSY!AU16</f>
        <v>118.59513982117227</v>
      </c>
      <c r="Q15" s="64">
        <f>Merge60_CSY!B16</f>
        <v>67295</v>
      </c>
      <c r="R15" s="6">
        <f>Merge60_CSY!AF16</f>
        <v>0.65101426491545555</v>
      </c>
      <c r="S15" s="81">
        <f>Wages!B14/Wages!C14</f>
        <v>0.63605646916363712</v>
      </c>
      <c r="T15" s="62">
        <f t="shared" si="9"/>
        <v>356.93598976257755</v>
      </c>
      <c r="AA15" s="24">
        <f t="shared" si="0"/>
        <v>1962</v>
      </c>
      <c r="AB15" s="3">
        <f t="shared" si="1"/>
        <v>1.6489812834255211</v>
      </c>
      <c r="AC15" s="3">
        <f t="shared" si="2"/>
        <v>0.78847993128178007</v>
      </c>
      <c r="AD15" s="3">
        <f t="shared" si="3"/>
        <v>1.4943741599119313</v>
      </c>
      <c r="AE15" s="3">
        <f t="shared" si="4"/>
        <v>5.6428596322139359</v>
      </c>
      <c r="AF15" s="3">
        <f t="shared" si="10"/>
        <v>1.5721874526563957</v>
      </c>
      <c r="AG15" s="62">
        <f t="shared" si="11"/>
        <v>13.257539277100292</v>
      </c>
      <c r="AH15" s="3"/>
      <c r="AI15" s="61">
        <f t="shared" si="5"/>
        <v>0.12096134551153913</v>
      </c>
      <c r="AJ15" s="3">
        <f t="shared" si="6"/>
        <v>0.69861947339473729</v>
      </c>
      <c r="AK15" s="3">
        <f t="shared" si="7"/>
        <v>8.1990964700192764E-2</v>
      </c>
      <c r="AL15" s="62">
        <f t="shared" si="8"/>
        <v>6.7933285060664914E-2</v>
      </c>
    </row>
    <row r="16" spans="1:38">
      <c r="A16" s="75">
        <v>1963</v>
      </c>
      <c r="B16" s="3">
        <f>Merge60_CSY!AG17</f>
        <v>119.62968028217112</v>
      </c>
      <c r="C16" s="3">
        <f>Merge60_CSY!AH17</f>
        <v>60.756978630590467</v>
      </c>
      <c r="D16" s="3">
        <f>Merge60_CSY!AI17</f>
        <v>60.947439652776787</v>
      </c>
      <c r="E16" s="3">
        <f>Merge60_CSY!AJ17</f>
        <v>-0.19046102218632113</v>
      </c>
      <c r="F16" s="3">
        <f>Merge60_CSY!AK17</f>
        <v>58.872701651580655</v>
      </c>
      <c r="G16" s="3">
        <f>Merge60_CSY!BE17</f>
        <v>47.005099055780882</v>
      </c>
      <c r="H16" s="3">
        <f>Merge60_CSY!BF17</f>
        <v>2.6995591088277719</v>
      </c>
      <c r="I16" s="3">
        <f>Merge60_CSY!AN17</f>
        <v>-1.2724845883487075</v>
      </c>
      <c r="J16" s="3">
        <f>Merge60_CSY!AO17</f>
        <v>7.8955588986232943</v>
      </c>
      <c r="K16" s="5">
        <f>Merge60_CSY!AV17</f>
        <v>310.79336521219369</v>
      </c>
      <c r="L16" s="5">
        <f>Merge60_CSY!AW17</f>
        <v>256.26452928870299</v>
      </c>
      <c r="M16" s="5">
        <f>Merge60_CSY!AX17</f>
        <v>54.528835923490746</v>
      </c>
      <c r="N16" s="3">
        <f>Merge60_CSY!AS17</f>
        <v>139.42064190364641</v>
      </c>
      <c r="O16" s="3">
        <f>Merge60_CSY!AT17</f>
        <v>26.740937353647627</v>
      </c>
      <c r="P16" s="3">
        <f>Merge60_CSY!AU17</f>
        <v>112.67970454999879</v>
      </c>
      <c r="Q16" s="64">
        <f>Merge60_CSY!B17</f>
        <v>69172</v>
      </c>
      <c r="R16" s="6">
        <f>Merge60_CSY!AF17</f>
        <v>0.66229788987371063</v>
      </c>
      <c r="S16" s="81">
        <f>Wages!B15/Wages!C15</f>
        <v>0.62922841583251998</v>
      </c>
      <c r="T16" s="62">
        <f t="shared" si="9"/>
        <v>382.71063429769958</v>
      </c>
      <c r="AA16" s="24">
        <f t="shared" si="0"/>
        <v>1963</v>
      </c>
      <c r="AB16" s="3">
        <f t="shared" si="1"/>
        <v>1.8155690358629661</v>
      </c>
      <c r="AC16" s="3">
        <f t="shared" si="2"/>
        <v>0.86840416452021418</v>
      </c>
      <c r="AD16" s="3">
        <f t="shared" si="3"/>
        <v>1.8577599624434857</v>
      </c>
      <c r="AE16" s="3">
        <f t="shared" si="4"/>
        <v>5.5064331935284114</v>
      </c>
      <c r="AF16" s="3">
        <f t="shared" si="10"/>
        <v>1.5892479977671055</v>
      </c>
      <c r="AG16" s="62">
        <f t="shared" si="11"/>
        <v>16.257420779816943</v>
      </c>
      <c r="AH16" s="3"/>
      <c r="AI16" s="61">
        <f t="shared" si="5"/>
        <v>0.13039782891364773</v>
      </c>
      <c r="AJ16" s="3">
        <f t="shared" si="6"/>
        <v>0.75576326650232073</v>
      </c>
      <c r="AK16" s="3">
        <f t="shared" si="7"/>
        <v>8.8109986197849974E-2</v>
      </c>
      <c r="AL16" s="62">
        <f t="shared" si="8"/>
        <v>6.795393953591175E-2</v>
      </c>
    </row>
    <row r="17" spans="1:38">
      <c r="A17" s="75">
        <v>1964</v>
      </c>
      <c r="B17" s="3">
        <f>Merge60_CSY!AG18</f>
        <v>141.47167181391592</v>
      </c>
      <c r="C17" s="3">
        <f>Merge60_CSY!AH18</f>
        <v>68.618450489094087</v>
      </c>
      <c r="D17" s="3">
        <f>Merge60_CSY!AI18</f>
        <v>68.591057339202735</v>
      </c>
      <c r="E17" s="3">
        <f>Merge60_CSY!AJ18</f>
        <v>2.7393149891349756E-2</v>
      </c>
      <c r="F17" s="3">
        <f>Merge60_CSY!AK18</f>
        <v>72.853221324821831</v>
      </c>
      <c r="G17" s="3">
        <f>Merge60_CSY!BE18</f>
        <v>47.289759094586564</v>
      </c>
      <c r="H17" s="3">
        <f>Merge60_CSY!BF18</f>
        <v>15.582303761512092</v>
      </c>
      <c r="I17" s="3">
        <f>Merge60_CSY!AN18</f>
        <v>-1.0684431444464704</v>
      </c>
      <c r="J17" s="3">
        <f>Merge60_CSY!AO18</f>
        <v>8.9127153242767037</v>
      </c>
      <c r="K17" s="5">
        <f>Merge60_CSY!AV18</f>
        <v>323.57975891611881</v>
      </c>
      <c r="L17" s="5">
        <f>Merge60_CSY!AW18</f>
        <v>266.00598799561669</v>
      </c>
      <c r="M17" s="5">
        <f>Merge60_CSY!AX18</f>
        <v>57.573770920502099</v>
      </c>
      <c r="N17" s="3">
        <f>Merge60_CSY!AS18</f>
        <v>135.14916891729186</v>
      </c>
      <c r="O17" s="3">
        <f>Merge60_CSY!AT18</f>
        <v>25.616818096812342</v>
      </c>
      <c r="P17" s="3">
        <f>Merge60_CSY!AU18</f>
        <v>109.53235082047952</v>
      </c>
      <c r="Q17" s="64">
        <f>Merge60_CSY!B18</f>
        <v>70499</v>
      </c>
      <c r="R17" s="6">
        <f>Merge60_CSY!AF18</f>
        <v>0.67168240062093154</v>
      </c>
      <c r="S17" s="81">
        <f>Wages!B16/Wages!C16</f>
        <v>0.62778384092749517</v>
      </c>
      <c r="T17" s="62">
        <f t="shared" si="9"/>
        <v>444.06694805229938</v>
      </c>
      <c r="AA17" s="24">
        <f t="shared" si="0"/>
        <v>1964</v>
      </c>
      <c r="AB17" s="3">
        <f t="shared" si="1"/>
        <v>2.0209571428323954</v>
      </c>
      <c r="AC17" s="3">
        <f t="shared" si="2"/>
        <v>1.0433469819817038</v>
      </c>
      <c r="AD17" s="3">
        <f t="shared" si="3"/>
        <v>2.4297727518075121</v>
      </c>
      <c r="AE17" s="3">
        <f t="shared" si="4"/>
        <v>5.8352048188473979</v>
      </c>
      <c r="AF17" s="3">
        <f t="shared" si="10"/>
        <v>1.5929049695235677</v>
      </c>
      <c r="AG17" s="62">
        <f t="shared" si="11"/>
        <v>22.584559757231446</v>
      </c>
      <c r="AH17" s="3"/>
      <c r="AI17" s="61">
        <f t="shared" si="5"/>
        <v>0.14187706093903285</v>
      </c>
      <c r="AJ17" s="3">
        <f t="shared" si="6"/>
        <v>0.88577235973986013</v>
      </c>
      <c r="AK17" s="3">
        <f t="shared" si="7"/>
        <v>9.7293659965677154E-2</v>
      </c>
      <c r="AL17" s="62">
        <f t="shared" si="8"/>
        <v>6.7078623944434063E-2</v>
      </c>
    </row>
    <row r="18" spans="1:38">
      <c r="A18" s="75">
        <v>1965</v>
      </c>
      <c r="B18" s="3">
        <f>Merge60_CSY!AG19</f>
        <v>165.56657634532496</v>
      </c>
      <c r="C18" s="3">
        <f>Merge60_CSY!AH19</f>
        <v>75.260038783347142</v>
      </c>
      <c r="D18" s="3">
        <f>Merge60_CSY!AI19</f>
        <v>75.49636821700345</v>
      </c>
      <c r="E18" s="3">
        <f>Merge60_CSY!AJ19</f>
        <v>-0.23632943365631026</v>
      </c>
      <c r="F18" s="3">
        <f>Merge60_CSY!AK19</f>
        <v>90.306537561977819</v>
      </c>
      <c r="G18" s="3">
        <f>Merge60_CSY!BE19</f>
        <v>51.248370781873682</v>
      </c>
      <c r="H18" s="3">
        <f>Merge60_CSY!BF19</f>
        <v>27.787412848567492</v>
      </c>
      <c r="I18" s="3">
        <f>Merge60_CSY!AN19</f>
        <v>-0.84005962178117288</v>
      </c>
      <c r="J18" s="3">
        <f>Merge60_CSY!AO19</f>
        <v>10.430694309755472</v>
      </c>
      <c r="K18" s="5">
        <f>Merge60_CSY!AV19</f>
        <v>334.4761929667265</v>
      </c>
      <c r="L18" s="5">
        <f>Merge60_CSY!AW19</f>
        <v>272.94750647539354</v>
      </c>
      <c r="M18" s="5">
        <f>Merge60_CSY!AX19</f>
        <v>61.528686491332948</v>
      </c>
      <c r="N18" s="3">
        <f>Merge60_CSY!AS19</f>
        <v>143.97401423293937</v>
      </c>
      <c r="O18" s="3">
        <f>Merge60_CSY!AT19</f>
        <v>26.42899058731388</v>
      </c>
      <c r="P18" s="3">
        <f>Merge60_CSY!AU19</f>
        <v>117.54502364562549</v>
      </c>
      <c r="Q18" s="64">
        <f>Merge60_CSY!B19</f>
        <v>72538</v>
      </c>
      <c r="R18" s="6">
        <f>Merge60_CSY!AF19</f>
        <v>0.74347536412217496</v>
      </c>
      <c r="S18" s="81">
        <f>Wages!B17/Wages!C17</f>
        <v>0.63688615848654884</v>
      </c>
      <c r="T18" s="62">
        <f t="shared" si="9"/>
        <v>505.09028116378624</v>
      </c>
      <c r="AA18" s="24">
        <f t="shared" si="0"/>
        <v>1965</v>
      </c>
      <c r="AB18" s="3">
        <f t="shared" si="1"/>
        <v>2.1758534197079644</v>
      </c>
      <c r="AC18" s="3">
        <f t="shared" si="2"/>
        <v>1.2086583766809353</v>
      </c>
      <c r="AD18" s="3">
        <f t="shared" si="3"/>
        <v>2.9580983581240177</v>
      </c>
      <c r="AE18" s="3">
        <f t="shared" si="4"/>
        <v>5.8034576483429801</v>
      </c>
      <c r="AF18" s="3">
        <f t="shared" si="10"/>
        <v>1.5701393203085605</v>
      </c>
      <c r="AG18" s="62">
        <f t="shared" si="11"/>
        <v>26.954893448776708</v>
      </c>
      <c r="AH18" s="3"/>
      <c r="AI18" s="61">
        <f t="shared" si="5"/>
        <v>0.15165194899691289</v>
      </c>
      <c r="AJ18" s="3">
        <f t="shared" si="6"/>
        <v>1.0274000616328613</v>
      </c>
      <c r="AK18" s="3">
        <f t="shared" si="7"/>
        <v>0.10407837025697353</v>
      </c>
      <c r="AL18" s="62">
        <f t="shared" si="8"/>
        <v>7.0650377432343994E-2</v>
      </c>
    </row>
    <row r="19" spans="1:38">
      <c r="A19" s="75">
        <v>1966</v>
      </c>
      <c r="B19" s="3">
        <f>Merge60_CSY!AG20</f>
        <v>183.33079534767745</v>
      </c>
      <c r="C19" s="3">
        <f>Merge60_CSY!AH20</f>
        <v>80.6986863406309</v>
      </c>
      <c r="D19" s="3">
        <f>Merge60_CSY!AI20</f>
        <v>81.047235612093644</v>
      </c>
      <c r="E19" s="3">
        <f>Merge60_CSY!AJ20</f>
        <v>-0.34854927146273823</v>
      </c>
      <c r="F19" s="3">
        <f>Merge60_CSY!AK20</f>
        <v>102.63210900704655</v>
      </c>
      <c r="G19" s="3">
        <f>Merge60_CSY!BE20</f>
        <v>56.065674989454571</v>
      </c>
      <c r="H19" s="3">
        <f>Merge60_CSY!BF20</f>
        <v>34.131754944653302</v>
      </c>
      <c r="I19" s="3">
        <f>Merge60_CSY!AN20</f>
        <v>-0.70150817068732185</v>
      </c>
      <c r="J19" s="3">
        <f>Merge60_CSY!AO20</f>
        <v>11.733170902251358</v>
      </c>
      <c r="K19" s="5">
        <f>Merge60_CSY!AV20</f>
        <v>347.71757695756133</v>
      </c>
      <c r="L19" s="5">
        <f>Merge60_CSY!AW20</f>
        <v>283.45894874476994</v>
      </c>
      <c r="M19" s="5">
        <f>Merge60_CSY!AX20</f>
        <v>64.258628212791407</v>
      </c>
      <c r="N19" s="3">
        <f>Merge60_CSY!AS20</f>
        <v>164.56272636985989</v>
      </c>
      <c r="O19" s="3">
        <f>Merge60_CSY!AT20</f>
        <v>28.606342189615777</v>
      </c>
      <c r="P19" s="3">
        <f>Merge60_CSY!AU20</f>
        <v>135.9563841802441</v>
      </c>
      <c r="Q19" s="64">
        <f>Merge60_CSY!B20</f>
        <v>74542</v>
      </c>
      <c r="R19" s="6">
        <f>Merge60_CSY!AF20</f>
        <v>0.77372430716027696</v>
      </c>
      <c r="S19" s="81">
        <f>Wages!B18/Wages!C18</f>
        <v>0.64462758232518713</v>
      </c>
      <c r="T19" s="62">
        <f t="shared" si="9"/>
        <v>544.24732409738283</v>
      </c>
      <c r="AA19" s="24">
        <f t="shared" si="0"/>
        <v>1966</v>
      </c>
      <c r="AB19" s="3">
        <f t="shared" si="1"/>
        <v>2.2599152057635803</v>
      </c>
      <c r="AC19" s="3">
        <f t="shared" si="2"/>
        <v>1.2755907363451429</v>
      </c>
      <c r="AD19" s="3">
        <f t="shared" si="3"/>
        <v>3.1626633976639882</v>
      </c>
      <c r="AE19" s="3">
        <f t="shared" si="4"/>
        <v>5.9488566567855807</v>
      </c>
      <c r="AF19" s="3">
        <f t="shared" si="10"/>
        <v>1.5512832950662396</v>
      </c>
      <c r="AG19" s="62">
        <f t="shared" si="11"/>
        <v>29.186202579948773</v>
      </c>
      <c r="AH19" s="3"/>
      <c r="AI19" s="61">
        <f t="shared" si="5"/>
        <v>0.15658097119139169</v>
      </c>
      <c r="AJ19" s="3">
        <f t="shared" si="6"/>
        <v>1.1180206970342936</v>
      </c>
      <c r="AK19" s="3">
        <f t="shared" si="7"/>
        <v>0.10872693999636936</v>
      </c>
      <c r="AL19" s="62">
        <f t="shared" si="8"/>
        <v>7.5213537320510004E-2</v>
      </c>
    </row>
    <row r="20" spans="1:38">
      <c r="A20" s="75">
        <v>1967</v>
      </c>
      <c r="B20" s="3">
        <f>Merge60_CSY!AG21</f>
        <v>172.87727902923541</v>
      </c>
      <c r="C20" s="3">
        <f>Merge60_CSY!AH21</f>
        <v>82.223540795944103</v>
      </c>
      <c r="D20" s="3">
        <f>Merge60_CSY!AI21</f>
        <v>82.48274354782879</v>
      </c>
      <c r="E20" s="3">
        <f>Merge60_CSY!AJ21</f>
        <v>-0.25920275188468167</v>
      </c>
      <c r="F20" s="3">
        <f>Merge60_CSY!AK21</f>
        <v>90.653738233291307</v>
      </c>
      <c r="G20" s="3">
        <f>Merge60_CSY!BE21</f>
        <v>56.883648205777661</v>
      </c>
      <c r="H20" s="3">
        <f>Merge60_CSY!BF21</f>
        <v>23.432663635511744</v>
      </c>
      <c r="I20" s="3">
        <f>Merge60_CSY!AN21</f>
        <v>-0.65629876636471773</v>
      </c>
      <c r="J20" s="3">
        <f>Merge60_CSY!AO21</f>
        <v>9.6811276256371848</v>
      </c>
      <c r="K20" s="5">
        <f>Merge60_CSY!AV21</f>
        <v>359.48899232914926</v>
      </c>
      <c r="L20" s="5">
        <f>Merge60_CSY!AW21</f>
        <v>293.58539923291499</v>
      </c>
      <c r="M20" s="5">
        <f>Merge60_CSY!AX21</f>
        <v>65.903593096234317</v>
      </c>
      <c r="N20" s="3">
        <f>Merge60_CSY!AS21</f>
        <v>190.46634499602018</v>
      </c>
      <c r="O20" s="3">
        <f>Merge60_CSY!AT21</f>
        <v>31.387414070244205</v>
      </c>
      <c r="P20" s="3">
        <f>Merge60_CSY!AU21</f>
        <v>159.07893092577598</v>
      </c>
      <c r="Q20" s="64">
        <f>Merge60_CSY!B21</f>
        <v>76368</v>
      </c>
      <c r="R20" s="6">
        <f>Merge60_CSY!AF21</f>
        <v>0.74974667323829891</v>
      </c>
      <c r="S20" s="81">
        <f>Wages!B19/Wages!C19</f>
        <v>0.64783601326910789</v>
      </c>
      <c r="T20" s="62">
        <f t="shared" si="9"/>
        <v>500.94312675048712</v>
      </c>
      <c r="AA20" s="24">
        <f t="shared" si="0"/>
        <v>1967</v>
      </c>
      <c r="AB20" s="3">
        <f t="shared" si="1"/>
        <v>2.2294433965077123</v>
      </c>
      <c r="AC20" s="3">
        <f t="shared" si="2"/>
        <v>1.0560039755657338</v>
      </c>
      <c r="AD20" s="3">
        <f t="shared" si="3"/>
        <v>3.0535095516377435</v>
      </c>
      <c r="AE20" s="3">
        <f t="shared" si="4"/>
        <v>5.4013310051392276</v>
      </c>
      <c r="AF20" s="3">
        <f t="shared" si="10"/>
        <v>1.5436005092612919</v>
      </c>
      <c r="AG20" s="62">
        <f t="shared" si="11"/>
        <v>25.45862761244582</v>
      </c>
      <c r="AH20" s="3"/>
      <c r="AI20" s="61">
        <f t="shared" si="5"/>
        <v>0.15403677279567909</v>
      </c>
      <c r="AJ20" s="3">
        <f t="shared" si="6"/>
        <v>0.96288553904248098</v>
      </c>
      <c r="AK20" s="3">
        <f t="shared" si="7"/>
        <v>0.1080069447253153</v>
      </c>
      <c r="AL20" s="62">
        <f t="shared" si="8"/>
        <v>7.4486235341736942E-2</v>
      </c>
    </row>
    <row r="21" spans="1:38">
      <c r="A21" s="75">
        <v>1968</v>
      </c>
      <c r="B21" s="3">
        <f>Merge60_CSY!AG22</f>
        <v>165.81439677528803</v>
      </c>
      <c r="C21" s="3">
        <f>Merge60_CSY!AH22</f>
        <v>80.902000268006006</v>
      </c>
      <c r="D21" s="3">
        <f>Merge60_CSY!AI22</f>
        <v>81.087212857974734</v>
      </c>
      <c r="E21" s="3">
        <f>Merge60_CSY!AJ22</f>
        <v>-0.18521258996872836</v>
      </c>
      <c r="F21" s="3">
        <f>Merge60_CSY!AK22</f>
        <v>84.912396507282025</v>
      </c>
      <c r="G21" s="3">
        <f>Merge60_CSY!BE22</f>
        <v>57.100087006152577</v>
      </c>
      <c r="H21" s="3">
        <f>Merge60_CSY!BF22</f>
        <v>15.989486997853263</v>
      </c>
      <c r="I21" s="3">
        <f>Merge60_CSY!AN22</f>
        <v>-0.71325791933188765</v>
      </c>
      <c r="J21" s="3">
        <f>Merge60_CSY!AO22</f>
        <v>11.109564583944298</v>
      </c>
      <c r="K21" s="5">
        <f>Merge60_CSY!AV22</f>
        <v>372.33371812113973</v>
      </c>
      <c r="L21" s="5">
        <f>Merge60_CSY!AW22</f>
        <v>304.06184224945213</v>
      </c>
      <c r="M21" s="5">
        <f>Merge60_CSY!AX22</f>
        <v>68.271875871687598</v>
      </c>
      <c r="N21" s="3">
        <f>Merge60_CSY!AS22</f>
        <v>204.37569138173092</v>
      </c>
      <c r="O21" s="3">
        <f>Merge60_CSY!AT22</f>
        <v>33.228423106975484</v>
      </c>
      <c r="P21" s="3">
        <f>Merge60_CSY!AU22</f>
        <v>171.14726827475545</v>
      </c>
      <c r="Q21" s="64">
        <f>Merge60_CSY!B22</f>
        <v>78534</v>
      </c>
      <c r="R21" s="6">
        <f>Merge60_CSY!AF22</f>
        <v>0.77118472645922576</v>
      </c>
      <c r="S21" s="81">
        <f>Wages!B20/Wages!C20</f>
        <v>0.64477278219149137</v>
      </c>
      <c r="T21" s="62">
        <f t="shared" si="9"/>
        <v>467.22539301032742</v>
      </c>
      <c r="AA21" s="24">
        <f t="shared" si="0"/>
        <v>1968</v>
      </c>
      <c r="AB21" s="3">
        <f t="shared" si="1"/>
        <v>2.1346114747470306</v>
      </c>
      <c r="AC21" s="3">
        <f t="shared" si="2"/>
        <v>0.94404092477164059</v>
      </c>
      <c r="AD21" s="3">
        <f t="shared" si="3"/>
        <v>2.9318116653064528</v>
      </c>
      <c r="AE21" s="3">
        <f t="shared" si="4"/>
        <v>4.9741119158486971</v>
      </c>
      <c r="AF21" s="3">
        <f t="shared" si="10"/>
        <v>1.5509339531999811</v>
      </c>
      <c r="AG21" s="62">
        <f t="shared" si="11"/>
        <v>22.617516964439698</v>
      </c>
      <c r="AH21" s="3"/>
      <c r="AI21" s="61">
        <f t="shared" si="5"/>
        <v>0.14633898097249157</v>
      </c>
      <c r="AJ21" s="3">
        <f t="shared" si="6"/>
        <v>0.87061731930155861</v>
      </c>
      <c r="AK21" s="3">
        <f t="shared" si="7"/>
        <v>0.10325109233959144</v>
      </c>
      <c r="AL21" s="62">
        <f t="shared" si="8"/>
        <v>7.2707473204156894E-2</v>
      </c>
    </row>
    <row r="22" spans="1:38">
      <c r="A22" s="75">
        <v>1969</v>
      </c>
      <c r="B22" s="3">
        <f>Merge60_CSY!AG23</f>
        <v>193.81810536111453</v>
      </c>
      <c r="C22" s="3">
        <f>Merge60_CSY!AH23</f>
        <v>81.579713359256317</v>
      </c>
      <c r="D22" s="3">
        <f>Merge60_CSY!AI23</f>
        <v>81.577462594731372</v>
      </c>
      <c r="E22" s="3">
        <f>Merge60_CSY!AJ23</f>
        <v>2.2507645249433593E-3</v>
      </c>
      <c r="F22" s="3">
        <f>Merge60_CSY!AK23</f>
        <v>112.23839200185822</v>
      </c>
      <c r="G22" s="3">
        <f>Merge60_CSY!BE23</f>
        <v>64.898639076832893</v>
      </c>
      <c r="H22" s="3">
        <f>Merge60_CSY!BF23</f>
        <v>31.048266855293953</v>
      </c>
      <c r="I22" s="3">
        <f>Merge60_CSY!AN23</f>
        <v>-1.1736738515644387</v>
      </c>
      <c r="J22" s="3">
        <f>Merge60_CSY!AO23</f>
        <v>15.117812218166934</v>
      </c>
      <c r="K22" s="5">
        <f>Merge60_CSY!AV23</f>
        <v>387.61672519426185</v>
      </c>
      <c r="L22" s="5">
        <f>Merge60_CSY!AW23</f>
        <v>316.35824641362831</v>
      </c>
      <c r="M22" s="5">
        <f>Merge60_CSY!AX23</f>
        <v>71.258478780633595</v>
      </c>
      <c r="N22" s="3">
        <f>Merge60_CSY!AS23</f>
        <v>210.14639381049761</v>
      </c>
      <c r="O22" s="3">
        <f>Merge60_CSY!AT23</f>
        <v>33.198286386712205</v>
      </c>
      <c r="P22" s="3">
        <f>Merge60_CSY!AU23</f>
        <v>176.94810742378542</v>
      </c>
      <c r="Q22" s="64">
        <f>Merge60_CSY!B23</f>
        <v>80671</v>
      </c>
      <c r="R22" s="6">
        <f>Merge60_CSY!AF23</f>
        <v>0.84952372504696461</v>
      </c>
      <c r="S22" s="81">
        <f>Wages!B21/Wages!C21</f>
        <v>0.64714098732149483</v>
      </c>
      <c r="T22" s="62">
        <f t="shared" si="9"/>
        <v>531.66592172021353</v>
      </c>
      <c r="AA22" s="24">
        <f t="shared" si="0"/>
        <v>1969</v>
      </c>
      <c r="AB22" s="3">
        <f t="shared" si="1"/>
        <v>2.1063349980480575</v>
      </c>
      <c r="AC22" s="3">
        <f t="shared" si="2"/>
        <v>1.1989527736542764</v>
      </c>
      <c r="AD22" s="3">
        <f t="shared" si="3"/>
        <v>2.7915613548576332</v>
      </c>
      <c r="AE22" s="3">
        <f t="shared" si="4"/>
        <v>5.9218938630830236</v>
      </c>
      <c r="AF22" s="3">
        <f t="shared" si="10"/>
        <v>1.5452583279247734</v>
      </c>
      <c r="AG22" s="62">
        <f t="shared" si="11"/>
        <v>25.54517544032257</v>
      </c>
      <c r="AH22" s="3"/>
      <c r="AI22" s="61">
        <f t="shared" si="5"/>
        <v>0.14182921689648764</v>
      </c>
      <c r="AJ22" s="3">
        <f t="shared" si="6"/>
        <v>1.1025617687288241</v>
      </c>
      <c r="AK22" s="3">
        <f t="shared" si="7"/>
        <v>0.10112365359885382</v>
      </c>
      <c r="AL22" s="62">
        <f t="shared" si="8"/>
        <v>8.0448536744099977E-2</v>
      </c>
    </row>
    <row r="23" spans="1:38">
      <c r="A23" s="75">
        <v>1970</v>
      </c>
      <c r="B23" s="3">
        <f>Merge60_CSY!AG24</f>
        <v>231.41922332551081</v>
      </c>
      <c r="C23" s="3">
        <f>Merge60_CSY!AH24</f>
        <v>87.865502280602968</v>
      </c>
      <c r="D23" s="3">
        <f>Merge60_CSY!AI24</f>
        <v>88.206053246772285</v>
      </c>
      <c r="E23" s="3">
        <f>Merge60_CSY!AJ24</f>
        <v>-0.34055096616931713</v>
      </c>
      <c r="F23" s="3">
        <f>Merge60_CSY!AK24</f>
        <v>143.55372104490783</v>
      </c>
      <c r="G23" s="3">
        <f>Merge60_CSY!BE24</f>
        <v>70.610261432611281</v>
      </c>
      <c r="H23" s="3">
        <f>Merge60_CSY!BF24</f>
        <v>55.213394465144809</v>
      </c>
      <c r="I23" s="3">
        <f>Merge60_CSY!AN24</f>
        <v>-0.37362339773843356</v>
      </c>
      <c r="J23" s="3">
        <f>Merge60_CSY!AO24</f>
        <v>17.35644174941331</v>
      </c>
      <c r="K23" s="5">
        <f>Merge60_CSY!AV24</f>
        <v>401.69809125323775</v>
      </c>
      <c r="L23" s="5">
        <f>Merge60_CSY!AW24</f>
        <v>324.45474023709909</v>
      </c>
      <c r="M23" s="5">
        <f>Merge60_CSY!AX24</f>
        <v>77.243351016138675</v>
      </c>
      <c r="N23" s="3">
        <f>Merge60_CSY!AS24</f>
        <v>230.68734097526666</v>
      </c>
      <c r="O23" s="3">
        <f>Merge60_CSY!AT24</f>
        <v>34.767493524543951</v>
      </c>
      <c r="P23" s="3">
        <f>Merge60_CSY!AU24</f>
        <v>195.91984745072273</v>
      </c>
      <c r="Q23" s="64">
        <f>Merge60_CSY!B24</f>
        <v>82992</v>
      </c>
      <c r="R23" s="6">
        <f>Merge60_CSY!AF24</f>
        <v>0.89513496055253106</v>
      </c>
      <c r="S23" s="81">
        <f>Wages!B22/Wages!C22</f>
        <v>0.66041741416260191</v>
      </c>
      <c r="T23" s="62">
        <f t="shared" si="9"/>
        <v>617.05677046452126</v>
      </c>
      <c r="AA23" s="24">
        <f t="shared" si="0"/>
        <v>1970</v>
      </c>
      <c r="AB23" s="3">
        <f t="shared" si="1"/>
        <v>2.2228970757682993</v>
      </c>
      <c r="AC23" s="3">
        <f t="shared" si="2"/>
        <v>1.4056854503868339</v>
      </c>
      <c r="AD23" s="3">
        <f t="shared" si="3"/>
        <v>3.0888640230516975</v>
      </c>
      <c r="AE23" s="3">
        <f t="shared" si="4"/>
        <v>6.4439835493304294</v>
      </c>
      <c r="AF23" s="3">
        <f t="shared" si="10"/>
        <v>1.5141938697482455</v>
      </c>
      <c r="AG23" s="62">
        <f t="shared" si="11"/>
        <v>30.13940656895371</v>
      </c>
      <c r="AH23" s="3"/>
      <c r="AI23" s="61">
        <f t="shared" si="5"/>
        <v>0.1489453543474718</v>
      </c>
      <c r="AJ23" s="3">
        <f t="shared" si="6"/>
        <v>1.300922388911381</v>
      </c>
      <c r="AK23" s="3">
        <f t="shared" si="7"/>
        <v>0.10628259741513917</v>
      </c>
      <c r="AL23" s="62">
        <f t="shared" si="8"/>
        <v>8.5080804695164935E-2</v>
      </c>
    </row>
    <row r="24" spans="1:38">
      <c r="A24" s="75">
        <v>1971</v>
      </c>
      <c r="B24" s="3">
        <f>Merge60_CSY!AG25</f>
        <v>247.73342587549354</v>
      </c>
      <c r="C24" s="3">
        <f>Merge60_CSY!AH25</f>
        <v>89.527104063519047</v>
      </c>
      <c r="D24" s="3">
        <f>Merge60_CSY!AI25</f>
        <v>89.457617716486382</v>
      </c>
      <c r="E24" s="3">
        <f>Merge60_CSY!AJ25</f>
        <v>6.948634703266833E-2</v>
      </c>
      <c r="F24" s="3">
        <f>Merge60_CSY!AK25</f>
        <v>158.20632181197448</v>
      </c>
      <c r="G24" s="3">
        <f>Merge60_CSY!BE25</f>
        <v>74.012743888876429</v>
      </c>
      <c r="H24" s="3">
        <f>Merge60_CSY!BF25</f>
        <v>62.352943154558105</v>
      </c>
      <c r="I24" s="3">
        <f>Merge60_CSY!AN25</f>
        <v>-1.5264938467494762</v>
      </c>
      <c r="J24" s="3">
        <f>Merge60_CSY!AO25</f>
        <v>20.314140921790468</v>
      </c>
      <c r="K24" s="5">
        <f>Merge60_CSY!AV25</f>
        <v>415.5577953775653</v>
      </c>
      <c r="L24" s="5">
        <f>Merge60_CSY!AW25</f>
        <v>331.29126095835829</v>
      </c>
      <c r="M24" s="5">
        <f>Merge60_CSY!AX25</f>
        <v>84.266534419207034</v>
      </c>
      <c r="N24" s="3">
        <f>Merge60_CSY!AS25</f>
        <v>274.36636839164811</v>
      </c>
      <c r="O24" s="3">
        <f>Merge60_CSY!AT25</f>
        <v>39.943952647010875</v>
      </c>
      <c r="P24" s="3">
        <f>Merge60_CSY!AU25</f>
        <v>234.42241574463725</v>
      </c>
      <c r="Q24" s="64">
        <f>Merge60_CSY!B25</f>
        <v>85229</v>
      </c>
      <c r="R24" s="6">
        <f>Merge60_CSY!AF25</f>
        <v>0.91991112975843825</v>
      </c>
      <c r="S24" s="81">
        <f>Wages!B23/Wages!C23</f>
        <v>0.68815354613442015</v>
      </c>
      <c r="T24" s="62">
        <f t="shared" si="9"/>
        <v>643.2194027142225</v>
      </c>
      <c r="AA24" s="24">
        <f t="shared" si="0"/>
        <v>1971</v>
      </c>
      <c r="AB24" s="3">
        <f t="shared" si="1"/>
        <v>2.196018034056388</v>
      </c>
      <c r="AC24" s="3">
        <f t="shared" si="2"/>
        <v>1.3812283990158292</v>
      </c>
      <c r="AD24" s="3">
        <f t="shared" si="3"/>
        <v>3.0307546652250421</v>
      </c>
      <c r="AE24" s="3">
        <f t="shared" si="4"/>
        <v>6.6145297333351856</v>
      </c>
      <c r="AF24" s="3">
        <f t="shared" si="10"/>
        <v>1.4531640585408907</v>
      </c>
      <c r="AG24" s="62">
        <f t="shared" si="11"/>
        <v>29.13160436386023</v>
      </c>
      <c r="AH24" s="3"/>
      <c r="AI24" s="61">
        <f t="shared" si="5"/>
        <v>0.14863026296707746</v>
      </c>
      <c r="AJ24" s="3">
        <f t="shared" si="6"/>
        <v>1.3142159699775187</v>
      </c>
      <c r="AK24" s="3">
        <f t="shared" si="7"/>
        <v>0.10496147756806531</v>
      </c>
      <c r="AL24" s="62">
        <f t="shared" si="8"/>
        <v>8.6839859541794961E-2</v>
      </c>
    </row>
    <row r="25" spans="1:38">
      <c r="A25" s="75">
        <v>1972</v>
      </c>
      <c r="B25" s="3">
        <f>Merge60_CSY!AG26</f>
        <v>257.06169786251132</v>
      </c>
      <c r="C25" s="3">
        <f>Merge60_CSY!AH26</f>
        <v>88.729535207719309</v>
      </c>
      <c r="D25" s="3">
        <f>Merge60_CSY!AI26</f>
        <v>88.653997832870488</v>
      </c>
      <c r="E25" s="3">
        <f>Merge60_CSY!AJ26</f>
        <v>7.5537374848822142E-2</v>
      </c>
      <c r="F25" s="3">
        <f>Merge60_CSY!AK26</f>
        <v>168.332162654792</v>
      </c>
      <c r="G25" s="3">
        <f>Merge60_CSY!BE26</f>
        <v>83.522572548772061</v>
      </c>
      <c r="H25" s="3">
        <f>Merge60_CSY!BF26</f>
        <v>63.723994305434069</v>
      </c>
      <c r="I25" s="3">
        <f>Merge60_CSY!AN26</f>
        <v>-1.8059684608975239</v>
      </c>
      <c r="J25" s="3">
        <f>Merge60_CSY!AO26</f>
        <v>19.27962733968835</v>
      </c>
      <c r="K25" s="5">
        <f>Merge60_CSY!AV26</f>
        <v>418.28773709902379</v>
      </c>
      <c r="L25" s="5">
        <f>Merge60_CSY!AW26</f>
        <v>329.96128935046823</v>
      </c>
      <c r="M25" s="5">
        <f>Merge60_CSY!AX26</f>
        <v>88.326447748555495</v>
      </c>
      <c r="N25" s="3">
        <f>Merge60_CSY!AS26</f>
        <v>323.00099312662377</v>
      </c>
      <c r="O25" s="3">
        <f>Merge60_CSY!AT26</f>
        <v>45.675638939860143</v>
      </c>
      <c r="P25" s="3">
        <f>Merge60_CSY!AU26</f>
        <v>277.3253541867636</v>
      </c>
      <c r="Q25" s="64">
        <f>Merge60_CSY!B26</f>
        <v>87177</v>
      </c>
      <c r="R25" s="6">
        <f>Merge60_CSY!AF26</f>
        <v>0.93415633108041507</v>
      </c>
      <c r="S25" s="81">
        <f>Wages!B24/Wages!C24</f>
        <v>0.65392817054265007</v>
      </c>
      <c r="T25" s="62">
        <f t="shared" si="9"/>
        <v>652.52532674139195</v>
      </c>
      <c r="AA25" s="24">
        <f t="shared" si="0"/>
        <v>1972</v>
      </c>
      <c r="AB25" s="3">
        <f t="shared" si="1"/>
        <v>2.1407093828085015</v>
      </c>
      <c r="AC25" s="3">
        <f t="shared" si="2"/>
        <v>1.3520934064418129</v>
      </c>
      <c r="AD25" s="3">
        <f t="shared" si="3"/>
        <v>2.6090784778819494</v>
      </c>
      <c r="AE25" s="3">
        <f t="shared" si="4"/>
        <v>6.3141800191043167</v>
      </c>
      <c r="AF25" s="3">
        <f t="shared" si="10"/>
        <v>1.5292199434842648</v>
      </c>
      <c r="AG25" s="62">
        <f t="shared" si="11"/>
        <v>25.19266172559367</v>
      </c>
      <c r="AH25" s="3"/>
      <c r="AI25" s="61">
        <f t="shared" si="5"/>
        <v>0.14789990807803943</v>
      </c>
      <c r="AJ25" s="3">
        <f t="shared" si="6"/>
        <v>1.3340569768388704</v>
      </c>
      <c r="AK25" s="3">
        <f t="shared" si="7"/>
        <v>0.10169425173253321</v>
      </c>
      <c r="AL25" s="62">
        <f t="shared" si="8"/>
        <v>9.580803715288673E-2</v>
      </c>
    </row>
    <row r="26" spans="1:38">
      <c r="A26" s="75">
        <v>1973</v>
      </c>
      <c r="B26" s="3">
        <f>Merge60_CSY!AG27</f>
        <v>277.25925593131876</v>
      </c>
      <c r="C26" s="3">
        <f>Merge60_CSY!AH27</f>
        <v>96.716301110936044</v>
      </c>
      <c r="D26" s="3">
        <f>Merge60_CSY!AI27</f>
        <v>96.962059720316248</v>
      </c>
      <c r="E26" s="3">
        <f>Merge60_CSY!AJ27</f>
        <v>-0.24575860938020069</v>
      </c>
      <c r="F26" s="3">
        <f>Merge60_CSY!AK27</f>
        <v>180.5429548203827</v>
      </c>
      <c r="G26" s="3">
        <f>Merge60_CSY!BE27</f>
        <v>88.692328960711038</v>
      </c>
      <c r="H26" s="3">
        <f>Merge60_CSY!BF27</f>
        <v>72.831187028534572</v>
      </c>
      <c r="I26" s="3">
        <f>Merge60_CSY!AN27</f>
        <v>-1.552105707464015</v>
      </c>
      <c r="J26" s="3">
        <f>Merge60_CSY!AO27</f>
        <v>17.467333123673082</v>
      </c>
      <c r="K26" s="5">
        <f>Merge60_CSY!AV27</f>
        <v>427.59753835425386</v>
      </c>
      <c r="L26" s="5">
        <f>Merge60_CSY!AW27</f>
        <v>336.65781306037064</v>
      </c>
      <c r="M26" s="5">
        <f>Merge60_CSY!AX27</f>
        <v>90.939725293883257</v>
      </c>
      <c r="N26" s="3">
        <f>Merge60_CSY!AS27</f>
        <v>370.57493777572665</v>
      </c>
      <c r="O26" s="3">
        <f>Merge60_CSY!AT27</f>
        <v>50.827291168711604</v>
      </c>
      <c r="P26" s="3">
        <f>Merge60_CSY!AU27</f>
        <v>319.74764660701504</v>
      </c>
      <c r="Q26" s="64">
        <f>Merge60_CSY!B27</f>
        <v>89211</v>
      </c>
      <c r="R26" s="6">
        <f>Merge60_CSY!AF27</f>
        <v>0.94032938261551913</v>
      </c>
      <c r="S26" s="81">
        <f>Wages!B25/Wages!C25</f>
        <v>0.68479959630973264</v>
      </c>
      <c r="T26" s="62">
        <f t="shared" si="9"/>
        <v>687.74836503143035</v>
      </c>
      <c r="U26">
        <v>838</v>
      </c>
      <c r="V26">
        <f>B31/Q31</f>
        <v>3.7868848357513474E-3</v>
      </c>
      <c r="AA26" s="24">
        <f t="shared" si="0"/>
        <v>1973</v>
      </c>
      <c r="AB26" s="3">
        <f t="shared" si="1"/>
        <v>2.2734861863799702</v>
      </c>
      <c r="AC26" s="3">
        <f t="shared" si="2"/>
        <v>1.3614785153161542</v>
      </c>
      <c r="AD26" s="3">
        <f t="shared" si="3"/>
        <v>2.9058082137983345</v>
      </c>
      <c r="AE26" s="3">
        <f t="shared" si="4"/>
        <v>6.4052305534028582</v>
      </c>
      <c r="AF26" s="3">
        <f t="shared" si="10"/>
        <v>1.4602812346689866</v>
      </c>
      <c r="AG26" s="62">
        <f t="shared" si="11"/>
        <v>27.179296912043974</v>
      </c>
      <c r="AH26" s="3"/>
      <c r="AI26" s="61">
        <f t="shared" si="5"/>
        <v>0.15800603326997761</v>
      </c>
      <c r="AJ26" s="3">
        <f t="shared" si="6"/>
        <v>1.3897124492718078</v>
      </c>
      <c r="AK26" s="3">
        <f t="shared" si="7"/>
        <v>0.10868845738789638</v>
      </c>
      <c r="AL26" s="62">
        <f t="shared" si="8"/>
        <v>9.9418601922084751E-2</v>
      </c>
    </row>
    <row r="27" spans="1:38">
      <c r="A27" s="75">
        <v>1974</v>
      </c>
      <c r="B27" s="3">
        <f>Merge60_CSY!AG28</f>
        <v>283.65960113827043</v>
      </c>
      <c r="C27" s="3">
        <f>Merge60_CSY!AH28</f>
        <v>100.67091335427634</v>
      </c>
      <c r="D27" s="3">
        <f>Merge60_CSY!AI28</f>
        <v>101.70809509776933</v>
      </c>
      <c r="E27" s="3">
        <f>Merge60_CSY!AJ28</f>
        <v>-1.0371817434929964</v>
      </c>
      <c r="F27" s="3">
        <f>Merge60_CSY!AK28</f>
        <v>182.9886877839941</v>
      </c>
      <c r="G27" s="3">
        <f>Merge60_CSY!BE28</f>
        <v>91.48704473550417</v>
      </c>
      <c r="H27" s="3">
        <f>Merge60_CSY!BF28</f>
        <v>75.686601850127474</v>
      </c>
      <c r="I27" s="3">
        <f>Merge60_CSY!AN28</f>
        <v>0.35355606651896837</v>
      </c>
      <c r="J27" s="3">
        <f>Merge60_CSY!AO28</f>
        <v>16.168597264881413</v>
      </c>
      <c r="K27" s="5">
        <f>Merge60_CSY!AV28</f>
        <v>435.96235978282533</v>
      </c>
      <c r="L27" s="5">
        <f>Merge60_CSY!AW28</f>
        <v>340.86938981868906</v>
      </c>
      <c r="M27" s="5">
        <f>Merge60_CSY!AX28</f>
        <v>95.092969964136302</v>
      </c>
      <c r="N27" s="3">
        <f>Merge60_CSY!AS28</f>
        <v>424.87737791547488</v>
      </c>
      <c r="O27" s="3">
        <f>Merge60_CSY!AT28</f>
        <v>54.741264203792099</v>
      </c>
      <c r="P27" s="3">
        <f>Merge60_CSY!AU28</f>
        <v>370.13611371168281</v>
      </c>
      <c r="Q27" s="64">
        <f>Merge60_CSY!B28</f>
        <v>90859</v>
      </c>
      <c r="R27" s="6">
        <f>Merge60_CSY!AF28</f>
        <v>0.93699029913936427</v>
      </c>
      <c r="S27" s="81">
        <f>Wages!B26/Wages!C26</f>
        <v>0.75499884808722184</v>
      </c>
      <c r="T27" s="62">
        <f t="shared" si="9"/>
        <v>690.86223944944129</v>
      </c>
      <c r="AA27" s="24">
        <f t="shared" si="0"/>
        <v>1974</v>
      </c>
      <c r="AB27" s="3">
        <f t="shared" si="1"/>
        <v>2.3260365349174332</v>
      </c>
      <c r="AC27" s="3">
        <f t="shared" si="2"/>
        <v>1.2800057379551082</v>
      </c>
      <c r="AD27" s="3">
        <f t="shared" si="3"/>
        <v>3.0303838114548949</v>
      </c>
      <c r="AE27" s="3">
        <f t="shared" si="4"/>
        <v>6.6819984499411342</v>
      </c>
      <c r="AF27" s="3">
        <f t="shared" si="10"/>
        <v>1.3245053320723401</v>
      </c>
      <c r="AG27" s="62">
        <f t="shared" si="11"/>
        <v>26.819934867674167</v>
      </c>
      <c r="AH27" s="3"/>
      <c r="AI27" s="61">
        <f t="shared" si="5"/>
        <v>0.16243465678834693</v>
      </c>
      <c r="AJ27" s="3">
        <f t="shared" si="6"/>
        <v>1.3470194641844182</v>
      </c>
      <c r="AK27" s="3">
        <f t="shared" si="7"/>
        <v>0.11194058386925822</v>
      </c>
      <c r="AL27" s="62">
        <f t="shared" si="8"/>
        <v>0.10069123007682693</v>
      </c>
    </row>
    <row r="28" spans="1:38">
      <c r="A28" s="75">
        <v>1975</v>
      </c>
      <c r="B28" s="3">
        <f>Merge60_CSY!AG29</f>
        <v>308.31582665461713</v>
      </c>
      <c r="C28" s="3">
        <f>Merge60_CSY!AH29</f>
        <v>102.72022221987285</v>
      </c>
      <c r="D28" s="3">
        <f>Merge60_CSY!AI29</f>
        <v>103.48383794786851</v>
      </c>
      <c r="E28" s="3">
        <f>Merge60_CSY!AJ29</f>
        <v>-0.76361572799565414</v>
      </c>
      <c r="F28" s="3">
        <f>Merge60_CSY!AK29</f>
        <v>205.59560443474427</v>
      </c>
      <c r="G28" s="3">
        <f>Merge60_CSY!BE29</f>
        <v>97.653522719477849</v>
      </c>
      <c r="H28" s="3">
        <f>Merge60_CSY!BF29</f>
        <v>90.076481489076784</v>
      </c>
      <c r="I28" s="3">
        <f>Merge60_CSY!AN29</f>
        <v>-0.29159810687646703</v>
      </c>
      <c r="J28" s="3">
        <f>Merge60_CSY!AO29</f>
        <v>17.574002119313175</v>
      </c>
      <c r="K28" s="5">
        <f>Merge60_CSY!AV29</f>
        <v>445.28382745566853</v>
      </c>
      <c r="L28" s="5">
        <f>Merge60_CSY!AW29</f>
        <v>343.64599721059977</v>
      </c>
      <c r="M28" s="5">
        <f>Merge60_CSY!AX29</f>
        <v>101.63783024506876</v>
      </c>
      <c r="N28" s="3">
        <f>Merge60_CSY!AS29</f>
        <v>479.32011086982862</v>
      </c>
      <c r="O28" s="3">
        <f>Merge60_CSY!AT29</f>
        <v>57.768793990636006</v>
      </c>
      <c r="P28" s="3">
        <f>Merge60_CSY!AU29</f>
        <v>421.5513168791926</v>
      </c>
      <c r="Q28" s="64">
        <f>Merge60_CSY!B29</f>
        <v>92420</v>
      </c>
      <c r="R28" s="6">
        <f>Merge60_CSY!AF29</f>
        <v>0.96449124828717236</v>
      </c>
      <c r="S28" s="81">
        <f>Wages!B27/Wages!C27</f>
        <v>0.72738038743005495</v>
      </c>
      <c r="T28" s="62">
        <f t="shared" si="9"/>
        <v>738.23014517384104</v>
      </c>
      <c r="AA28" s="24">
        <f t="shared" si="0"/>
        <v>1975</v>
      </c>
      <c r="AB28" s="3">
        <f t="shared" si="1"/>
        <v>2.3450800864115555</v>
      </c>
      <c r="AC28" s="3">
        <f t="shared" si="2"/>
        <v>1.3201397881757526</v>
      </c>
      <c r="AD28" s="3">
        <f t="shared" si="3"/>
        <v>2.974146024758094</v>
      </c>
      <c r="AE28" s="3">
        <f t="shared" si="4"/>
        <v>6.4954975851426964</v>
      </c>
      <c r="AF28" s="3">
        <f t="shared" si="10"/>
        <v>1.3747964851419097</v>
      </c>
      <c r="AG28" s="62">
        <f t="shared" si="11"/>
        <v>26.559086078651834</v>
      </c>
      <c r="AH28" s="3"/>
      <c r="AI28" s="61">
        <f t="shared" si="5"/>
        <v>0.16440209599271727</v>
      </c>
      <c r="AJ28" s="3">
        <f t="shared" si="6"/>
        <v>1.4159779164638702</v>
      </c>
      <c r="AK28" s="3">
        <f t="shared" si="7"/>
        <v>0.11197125941124055</v>
      </c>
      <c r="AL28" s="62">
        <f t="shared" si="8"/>
        <v>0.10566275992152982</v>
      </c>
    </row>
    <row r="29" spans="1:38">
      <c r="A29" s="75">
        <v>1976</v>
      </c>
      <c r="B29" s="3">
        <f>Merge60_CSY!AG30</f>
        <v>303.32294098755682</v>
      </c>
      <c r="C29" s="3">
        <f>Merge60_CSY!AH30</f>
        <v>100.90353760388459</v>
      </c>
      <c r="D29" s="3">
        <f>Merge60_CSY!AI30</f>
        <v>101.33570058370324</v>
      </c>
      <c r="E29" s="3">
        <f>Merge60_CSY!AJ30</f>
        <v>-0.43216297981865448</v>
      </c>
      <c r="F29" s="3">
        <f>Merge60_CSY!AK30</f>
        <v>202.41940338367223</v>
      </c>
      <c r="G29" s="3">
        <f>Merge60_CSY!BE30</f>
        <v>96.14390854145762</v>
      </c>
      <c r="H29" s="3">
        <f>Merge60_CSY!BF30</f>
        <v>88.606145181391824</v>
      </c>
      <c r="I29" s="3">
        <f>Merge60_CSY!AN30</f>
        <v>-0.98658790650715844</v>
      </c>
      <c r="J29" s="3">
        <f>Merge60_CSY!AO30</f>
        <v>16.682761754315628</v>
      </c>
      <c r="K29" s="5">
        <f>Merge60_CSY!AV30</f>
        <v>453.05366158597332</v>
      </c>
      <c r="L29" s="5">
        <f>Merge60_CSY!AW30</f>
        <v>343.49433378162985</v>
      </c>
      <c r="M29" s="5">
        <f>Merge60_CSY!AX30</f>
        <v>109.55932780434351</v>
      </c>
      <c r="N29" s="3">
        <f>Merge60_CSY!AS30</f>
        <v>545.4305868154139</v>
      </c>
      <c r="O29" s="3">
        <f>Merge60_CSY!AT30</f>
        <v>61.199812514817765</v>
      </c>
      <c r="P29" s="3">
        <f>Merge60_CSY!AU30</f>
        <v>484.23077430059612</v>
      </c>
      <c r="Q29" s="64">
        <f>Merge60_CSY!B30</f>
        <v>93717</v>
      </c>
      <c r="R29" s="6">
        <f>Merge60_CSY!AF30</f>
        <v>0.98563233320454247</v>
      </c>
      <c r="S29" s="81">
        <f>Wages!B28/Wages!C28</f>
        <v>0.73606470078369901</v>
      </c>
      <c r="T29" s="62">
        <f t="shared" si="9"/>
        <v>716.22388693506366</v>
      </c>
      <c r="AA29" s="24">
        <f t="shared" si="0"/>
        <v>1976</v>
      </c>
      <c r="AB29" s="3">
        <f t="shared" si="1"/>
        <v>2.2856283390302452</v>
      </c>
      <c r="AC29" s="3">
        <f t="shared" si="2"/>
        <v>1.1829921782911648</v>
      </c>
      <c r="AD29" s="3">
        <f t="shared" si="3"/>
        <v>2.9212262451672859</v>
      </c>
      <c r="AE29" s="3">
        <f t="shared" si="4"/>
        <v>5.9779512063700926</v>
      </c>
      <c r="AF29" s="3">
        <f t="shared" si="10"/>
        <v>1.3585762215404231</v>
      </c>
      <c r="AG29" s="62">
        <f t="shared" si="11"/>
        <v>23.724745851532742</v>
      </c>
      <c r="AH29" s="3"/>
      <c r="AI29" s="61">
        <f t="shared" si="5"/>
        <v>0.16156582576240597</v>
      </c>
      <c r="AJ29" s="3">
        <f t="shared" si="6"/>
        <v>1.2933045976844071</v>
      </c>
      <c r="AK29" s="3">
        <f t="shared" si="7"/>
        <v>0.10812947553133716</v>
      </c>
      <c r="AL29" s="62">
        <f t="shared" si="8"/>
        <v>0.10258961398834536</v>
      </c>
    </row>
    <row r="30" spans="1:38">
      <c r="A30" s="75">
        <v>1977</v>
      </c>
      <c r="B30" s="3">
        <f>Merge60_CSY!AG31</f>
        <v>326.42787898183337</v>
      </c>
      <c r="C30" s="3">
        <f>Merge60_CSY!AH31</f>
        <v>98.665913869557599</v>
      </c>
      <c r="D30" s="3">
        <f>Merge60_CSY!AI31</f>
        <v>99.049681767209336</v>
      </c>
      <c r="E30" s="3">
        <f>Merge60_CSY!AJ31</f>
        <v>-0.38376789765173858</v>
      </c>
      <c r="F30" s="3">
        <f>Merge60_CSY!AK31</f>
        <v>227.76196511227579</v>
      </c>
      <c r="G30" s="3">
        <f>Merge60_CSY!BE31</f>
        <v>116.08624817588893</v>
      </c>
      <c r="H30" s="3">
        <f>Merge60_CSY!BF31</f>
        <v>92.332710405578268</v>
      </c>
      <c r="I30" s="3">
        <f>Merge60_CSY!AN31</f>
        <v>-1.0630453078259163</v>
      </c>
      <c r="J30" s="3">
        <f>Merge60_CSY!AO31</f>
        <v>18.279961222982671</v>
      </c>
      <c r="K30" s="5">
        <f>Merge60_CSY!AV31</f>
        <v>459.38852634987052</v>
      </c>
      <c r="L30" s="5">
        <f>Merge60_CSY!AW31</f>
        <v>342.29269276748357</v>
      </c>
      <c r="M30" s="5">
        <f>Merge60_CSY!AX31</f>
        <v>117.09583358238696</v>
      </c>
      <c r="N30" s="3">
        <f>Merge60_CSY!AS31</f>
        <v>606.76520265603506</v>
      </c>
      <c r="O30" s="3">
        <f>Merge60_CSY!AT31</f>
        <v>63.034897204959918</v>
      </c>
      <c r="P30" s="3">
        <f>Merge60_CSY!AU31</f>
        <v>543.73030545107508</v>
      </c>
      <c r="Q30" s="64">
        <f>Merge60_CSY!B31</f>
        <v>94974</v>
      </c>
      <c r="R30" s="6">
        <f>Merge60_CSY!AF31</f>
        <v>0.96642307090926727</v>
      </c>
      <c r="S30" s="81">
        <f>Wages!B29/Wages!C29</f>
        <v>0.73980054163283127</v>
      </c>
      <c r="T30" s="62">
        <f t="shared" si="9"/>
        <v>760.57918266713284</v>
      </c>
      <c r="AA30" s="24">
        <f t="shared" si="0"/>
        <v>1977</v>
      </c>
      <c r="AB30" s="3">
        <f t="shared" si="1"/>
        <v>2.2300114891324614</v>
      </c>
      <c r="AC30" s="3">
        <f t="shared" si="2"/>
        <v>1.2271202686443141</v>
      </c>
      <c r="AD30" s="3">
        <f t="shared" si="3"/>
        <v>2.2320942136821977</v>
      </c>
      <c r="AE30" s="3">
        <f t="shared" si="4"/>
        <v>6.5743519554325962</v>
      </c>
      <c r="AF30" s="3">
        <f t="shared" si="10"/>
        <v>1.351715690546639</v>
      </c>
      <c r="AG30" s="62">
        <f t="shared" si="11"/>
        <v>19.835850519983055</v>
      </c>
      <c r="AH30" s="3"/>
      <c r="AI30" s="61">
        <f t="shared" si="5"/>
        <v>0.15853757259468954</v>
      </c>
      <c r="AJ30" s="3">
        <f t="shared" si="6"/>
        <v>1.3615631803536201</v>
      </c>
      <c r="AK30" s="3">
        <f t="shared" si="7"/>
        <v>0.10429136581296918</v>
      </c>
      <c r="AL30" s="62">
        <f t="shared" si="8"/>
        <v>0.12222950299649266</v>
      </c>
    </row>
    <row r="31" spans="1:38">
      <c r="A31" s="75">
        <v>1978</v>
      </c>
      <c r="B31" s="3">
        <f>Merge60_CSY!AG32</f>
        <v>364.52174740458895</v>
      </c>
      <c r="C31" s="3">
        <f>Merge60_CSY!AH32</f>
        <v>102.75345425553118</v>
      </c>
      <c r="D31" s="3">
        <f>Merge60_CSY!AI32</f>
        <v>103.76643941933115</v>
      </c>
      <c r="E31" s="3">
        <f>Merge60_CSY!AJ32</f>
        <v>-1.0129851637999729</v>
      </c>
      <c r="F31" s="3">
        <f>Merge60_CSY!AK32</f>
        <v>261.76829314905774</v>
      </c>
      <c r="G31" s="3">
        <f>Merge60_CSY!BE32</f>
        <v>134.93209013060081</v>
      </c>
      <c r="H31" s="3">
        <f>Merge60_CSY!BF32</f>
        <v>107.38999999999997</v>
      </c>
      <c r="I31" s="3">
        <f>Merge60_CSY!AN32</f>
        <v>0.96701483620002815</v>
      </c>
      <c r="J31" s="3">
        <f>Merge60_CSY!AO32</f>
        <v>20.413217854656985</v>
      </c>
      <c r="K31" s="5">
        <f>Merge60_CSY!AV32</f>
        <v>468.43</v>
      </c>
      <c r="L31" s="5">
        <f>Merge60_CSY!AW32</f>
        <v>330.36</v>
      </c>
      <c r="M31" s="5">
        <f>Merge60_CSY!AX32</f>
        <v>138.07</v>
      </c>
      <c r="N31" s="3">
        <f>Merge60_CSY!AS32</f>
        <v>668.75965292881153</v>
      </c>
      <c r="O31" s="3">
        <f>Merge60_CSY!AT32</f>
        <v>63.912705753300216</v>
      </c>
      <c r="P31" s="3">
        <f>Merge60_CSY!AU32</f>
        <v>604.84694717551133</v>
      </c>
      <c r="Q31" s="64">
        <f>Merge60_CSY!B32</f>
        <v>96259</v>
      </c>
      <c r="R31" s="6">
        <f>Merge60_CSY!AF32</f>
        <v>1</v>
      </c>
      <c r="S31" s="81">
        <f>Wages!B30/Wages!C30</f>
        <v>0.7473570582845801</v>
      </c>
      <c r="T31" s="62">
        <f t="shared" si="9"/>
        <v>838</v>
      </c>
      <c r="AA31" s="24">
        <f t="shared" si="0"/>
        <v>1978</v>
      </c>
      <c r="AB31" s="3">
        <f t="shared" si="1"/>
        <v>2.3635844293742791</v>
      </c>
      <c r="AC31" s="3">
        <f t="shared" si="2"/>
        <v>1.2171773605821037</v>
      </c>
      <c r="AD31" s="3">
        <f t="shared" si="3"/>
        <v>2.1557496664328681</v>
      </c>
      <c r="AE31" s="3">
        <f t="shared" si="4"/>
        <v>5.7979202099717329</v>
      </c>
      <c r="AF31" s="3">
        <f t="shared" si="10"/>
        <v>1.3380485123072432</v>
      </c>
      <c r="AG31" s="62">
        <f t="shared" si="11"/>
        <v>16.724087128232629</v>
      </c>
      <c r="AH31" s="3"/>
      <c r="AI31" s="61">
        <f t="shared" si="5"/>
        <v>0.17106913621667924</v>
      </c>
      <c r="AJ31" s="3">
        <f t="shared" si="6"/>
        <v>1.3271369972067824</v>
      </c>
      <c r="AK31" s="3">
        <f t="shared" si="7"/>
        <v>0.10779920778247348</v>
      </c>
      <c r="AL31" s="62">
        <f t="shared" si="8"/>
        <v>0.14017607717782318</v>
      </c>
    </row>
    <row r="32" spans="1:38">
      <c r="A32" s="75">
        <v>1979</v>
      </c>
      <c r="B32" s="3">
        <f>Merge60_CSY!AG33</f>
        <v>392.12644655559882</v>
      </c>
      <c r="C32" s="3">
        <f>Merge60_CSY!AH33</f>
        <v>109.0564636853929</v>
      </c>
      <c r="D32" s="3">
        <f>Merge60_CSY!AI33</f>
        <v>110.19580076348923</v>
      </c>
      <c r="E32" s="3">
        <f>Merge60_CSY!AJ33</f>
        <v>-1.139337078096339</v>
      </c>
      <c r="F32" s="3">
        <f>Merge60_CSY!AK33</f>
        <v>283.06998287020593</v>
      </c>
      <c r="G32" s="3">
        <f>Merge60_CSY!BE33</f>
        <v>147.70823940979525</v>
      </c>
      <c r="H32" s="3">
        <f>Merge60_CSY!BF33</f>
        <v>111.29900102378804</v>
      </c>
      <c r="I32" s="3">
        <f>Merge60_CSY!AN33</f>
        <v>1.8176030360468733</v>
      </c>
      <c r="J32" s="3">
        <f>Merge60_CSY!AO33</f>
        <v>25.880345472669521</v>
      </c>
      <c r="K32" s="5">
        <f>Merge60_CSY!AV33</f>
        <v>479.67</v>
      </c>
      <c r="L32" s="5">
        <f>Merge60_CSY!AW33</f>
        <v>334.79</v>
      </c>
      <c r="M32" s="5">
        <f>Merge60_CSY!AX33</f>
        <v>144.88</v>
      </c>
      <c r="N32" s="3">
        <f>Merge60_CSY!AS33</f>
        <v>742.71167028237096</v>
      </c>
      <c r="O32" s="3">
        <f>Merge60_CSY!AT33</f>
        <v>71.759126004923601</v>
      </c>
      <c r="P32" s="3">
        <f>Merge60_CSY!AU33</f>
        <v>670.95254427744737</v>
      </c>
      <c r="Q32" s="64">
        <f>Merge60_CSY!B33</f>
        <v>97542</v>
      </c>
      <c r="R32" s="6">
        <f>Merge60_CSY!AF33</f>
        <v>1.1806903086365874</v>
      </c>
      <c r="S32" s="81">
        <f>Wages!B31/Wages!C31</f>
        <v>0.77624098713230938</v>
      </c>
      <c r="T32" s="62">
        <f t="shared" si="9"/>
        <v>889.60332709757142</v>
      </c>
      <c r="AA32" s="24">
        <f t="shared" si="0"/>
        <v>1979</v>
      </c>
      <c r="AB32" s="3">
        <f t="shared" si="1"/>
        <v>2.4502124863948445</v>
      </c>
      <c r="AC32" s="3">
        <f t="shared" si="2"/>
        <v>1.2336170729683935</v>
      </c>
      <c r="AD32" s="3">
        <f t="shared" si="3"/>
        <v>2.5846844440304637</v>
      </c>
      <c r="AE32" s="3">
        <f t="shared" si="4"/>
        <v>5.0188286724848306</v>
      </c>
      <c r="AF32" s="3">
        <f t="shared" si="10"/>
        <v>1.2882597242054048</v>
      </c>
      <c r="AG32" s="62">
        <f t="shared" si="11"/>
        <v>16.711419020720339</v>
      </c>
      <c r="AH32" s="3"/>
      <c r="AI32" s="61">
        <f t="shared" si="5"/>
        <v>0.17916023485458374</v>
      </c>
      <c r="AJ32" s="3">
        <f t="shared" si="6"/>
        <v>1.3676766151928779</v>
      </c>
      <c r="AK32" s="3">
        <f t="shared" si="7"/>
        <v>0.11297266896669049</v>
      </c>
      <c r="AL32" s="62">
        <f t="shared" si="8"/>
        <v>0.15143039860756932</v>
      </c>
    </row>
    <row r="33" spans="1:38">
      <c r="A33" s="75">
        <v>1980</v>
      </c>
      <c r="B33" s="3">
        <f>Merge60_CSY!AG34</f>
        <v>422.8748144599428</v>
      </c>
      <c r="C33" s="3">
        <f>Merge60_CSY!AH34</f>
        <v>107.43917128335457</v>
      </c>
      <c r="D33" s="3">
        <f>Merge60_CSY!AI34</f>
        <v>108.48782037509696</v>
      </c>
      <c r="E33" s="3">
        <f>Merge60_CSY!AJ34</f>
        <v>-1.0486490917423859</v>
      </c>
      <c r="F33" s="3">
        <f>Merge60_CSY!AK34</f>
        <v>315.4356431765882</v>
      </c>
      <c r="G33" s="3">
        <f>Merge60_CSY!AL34</f>
        <v>171.41420016865303</v>
      </c>
      <c r="H33" s="3">
        <f>Merge60_CSY!AM34</f>
        <v>123.02153849936721</v>
      </c>
      <c r="I33" s="3">
        <f>Merge60_CSY!AN34</f>
        <v>1.4124606578089951</v>
      </c>
      <c r="J33" s="3">
        <f>Merge60_CSY!AO34</f>
        <v>22.412365166376969</v>
      </c>
      <c r="K33" s="5">
        <f>Merge60_CSY!AV34</f>
        <v>493.97</v>
      </c>
      <c r="L33" s="5">
        <f>Merge60_CSY!AW34</f>
        <v>339.59</v>
      </c>
      <c r="M33" s="5">
        <f>Merge60_CSY!AX34</f>
        <v>154.38</v>
      </c>
      <c r="N33" s="3">
        <f>Merge60_CSY!AS34</f>
        <v>816.8750877920404</v>
      </c>
      <c r="O33" s="3">
        <f>Merge60_CSY!AT34</f>
        <v>79.535435365204577</v>
      </c>
      <c r="P33" s="3">
        <f>Merge60_CSY!AU34</f>
        <v>737.33965242683587</v>
      </c>
      <c r="Q33" s="64">
        <f>Merge60_CSY!B34</f>
        <v>98705</v>
      </c>
      <c r="R33" s="6">
        <f>Merge60_CSY!AF34</f>
        <v>1.2687097585150233</v>
      </c>
      <c r="S33" s="81">
        <f>Wages!B32/Wages!C32</f>
        <v>0.79595338903668178</v>
      </c>
      <c r="T33" s="62">
        <f t="shared" si="9"/>
        <v>948.05730341283004</v>
      </c>
      <c r="AA33" s="24">
        <f t="shared" si="0"/>
        <v>1980</v>
      </c>
      <c r="AB33" s="3">
        <f t="shared" si="1"/>
        <v>2.3607987464939408</v>
      </c>
      <c r="AC33" s="3">
        <f t="shared" si="2"/>
        <v>1.2781939659402857</v>
      </c>
      <c r="AD33" s="3">
        <f t="shared" si="3"/>
        <v>2.2950645492750557</v>
      </c>
      <c r="AE33" s="3">
        <f t="shared" si="4"/>
        <v>5.1567096448287391</v>
      </c>
      <c r="AF33" s="3">
        <f t="shared" si="10"/>
        <v>1.2563549747683964</v>
      </c>
      <c r="AG33" s="62">
        <f t="shared" si="11"/>
        <v>14.868937879735295</v>
      </c>
      <c r="AH33" s="3"/>
      <c r="AI33" s="61">
        <f t="shared" si="5"/>
        <v>0.17400849320016792</v>
      </c>
      <c r="AJ33" s="3">
        <f t="shared" si="6"/>
        <v>1.4302691425289011</v>
      </c>
      <c r="AK33" s="3">
        <f t="shared" si="7"/>
        <v>0.10991117002694591</v>
      </c>
      <c r="AL33" s="62">
        <f t="shared" si="8"/>
        <v>0.17366313780320453</v>
      </c>
    </row>
    <row r="34" spans="1:38">
      <c r="A34" s="75">
        <v>1981</v>
      </c>
      <c r="B34" s="3">
        <f>Merge60_CSY!AG35</f>
        <v>445.04660413641477</v>
      </c>
      <c r="C34" s="3">
        <f>Merge60_CSY!AH35</f>
        <v>114.94144972189208</v>
      </c>
      <c r="D34" s="3">
        <f>Merge60_CSY!AI35</f>
        <v>115.64535128067492</v>
      </c>
      <c r="E34" s="3">
        <f>Merge60_CSY!AJ35</f>
        <v>-0.70390155878283556</v>
      </c>
      <c r="F34" s="3">
        <f>Merge60_CSY!AK35</f>
        <v>330.1051544145227</v>
      </c>
      <c r="G34" s="3">
        <f>Merge60_CSY!AL35</f>
        <v>188.17903671990828</v>
      </c>
      <c r="H34" s="3">
        <f>Merge60_CSY!AM35</f>
        <v>121.8529032700157</v>
      </c>
      <c r="I34" s="3">
        <f>Merge60_CSY!AN35</f>
        <v>-0.93621044673285791</v>
      </c>
      <c r="J34" s="3">
        <f>Merge60_CSY!AO35</f>
        <v>19.137003977865835</v>
      </c>
      <c r="K34" s="5">
        <f>Merge60_CSY!AV35</f>
        <v>510.39</v>
      </c>
      <c r="L34" s="5">
        <f>Merge60_CSY!AW35</f>
        <v>347.58</v>
      </c>
      <c r="M34" s="5">
        <f>Merge60_CSY!AX35</f>
        <v>162.81</v>
      </c>
      <c r="N34" s="3">
        <f>Merge60_CSY!AS35</f>
        <v>899.05287190180559</v>
      </c>
      <c r="O34" s="3">
        <f>Merge60_CSY!AT35</f>
        <v>86.446459353249807</v>
      </c>
      <c r="P34" s="3">
        <f>Merge60_CSY!AU35</f>
        <v>812.6064125485558</v>
      </c>
      <c r="Q34" s="64">
        <f>Merge60_CSY!B35</f>
        <v>100072</v>
      </c>
      <c r="R34" s="6">
        <f>Merge60_CSY!AF35</f>
        <v>1.3441045294379936</v>
      </c>
      <c r="S34" s="81">
        <f>Wages!B33/Wages!C33</f>
        <v>0.81394536728499689</v>
      </c>
      <c r="T34" s="62">
        <f t="shared" si="9"/>
        <v>984.1353521673401</v>
      </c>
      <c r="AA34" s="24">
        <f t="shared" si="0"/>
        <v>1981</v>
      </c>
      <c r="AB34" s="3">
        <f t="shared" si="1"/>
        <v>2.4646311470998343</v>
      </c>
      <c r="AC34" s="3">
        <f t="shared" si="2"/>
        <v>1.2517323567325458</v>
      </c>
      <c r="AD34" s="3">
        <f t="shared" si="3"/>
        <v>2.4743975619712932</v>
      </c>
      <c r="AE34" s="3">
        <f t="shared" si="4"/>
        <v>4.7254905537204435</v>
      </c>
      <c r="AF34" s="3">
        <f t="shared" si="10"/>
        <v>1.2285836865631516</v>
      </c>
      <c r="AG34" s="62">
        <f t="shared" si="11"/>
        <v>14.365512447409895</v>
      </c>
      <c r="AH34" s="3"/>
      <c r="AI34" s="61">
        <f t="shared" si="5"/>
        <v>0.18187984736475243</v>
      </c>
      <c r="AJ34" s="3">
        <f t="shared" si="6"/>
        <v>1.4192838774655478</v>
      </c>
      <c r="AK34" s="3">
        <f t="shared" si="7"/>
        <v>0.11556214653516959</v>
      </c>
      <c r="AL34" s="62">
        <f t="shared" si="8"/>
        <v>0.18804364529529566</v>
      </c>
    </row>
    <row r="35" spans="1:38">
      <c r="A35" s="75">
        <v>1982</v>
      </c>
      <c r="B35" s="3">
        <f>Merge60_CSY!AG36</f>
        <v>485.35389943969619</v>
      </c>
      <c r="C35" s="3">
        <f>Merge60_CSY!AH36</f>
        <v>128.1931378049162</v>
      </c>
      <c r="D35" s="3">
        <f>Merge60_CSY!AI36</f>
        <v>129.22788072576239</v>
      </c>
      <c r="E35" s="3">
        <f>Merge60_CSY!AJ36</f>
        <v>-1.0347429208461933</v>
      </c>
      <c r="F35" s="3">
        <f>Merge60_CSY!AK36</f>
        <v>357.16076163477999</v>
      </c>
      <c r="G35" s="3">
        <f>Merge60_CSY!AL36</f>
        <v>193.09194194583858</v>
      </c>
      <c r="H35" s="3">
        <f>Merge60_CSY!AM36</f>
        <v>137.05351882287167</v>
      </c>
      <c r="I35" s="3">
        <f>Merge60_CSY!AN36</f>
        <v>-7.1157909890421793</v>
      </c>
      <c r="J35" s="3">
        <f>Merge60_CSY!AO36</f>
        <v>19.89950987702754</v>
      </c>
      <c r="K35" s="5">
        <f>Merge60_CSY!AV36</f>
        <v>526.17999999999995</v>
      </c>
      <c r="L35" s="5">
        <f>Merge60_CSY!AW36</f>
        <v>358.48</v>
      </c>
      <c r="M35" s="5">
        <f>Merge60_CSY!AX36</f>
        <v>167.7</v>
      </c>
      <c r="N35" s="3">
        <f>Merge60_CSY!AS36</f>
        <v>975.95313157673104</v>
      </c>
      <c r="O35" s="3">
        <f>Merge60_CSY!AT36</f>
        <v>95.245421794679388</v>
      </c>
      <c r="P35" s="3">
        <f>Merge60_CSY!AU36</f>
        <v>880.70770978205167</v>
      </c>
      <c r="Q35" s="64">
        <f>Merge60_CSY!B36</f>
        <v>101654</v>
      </c>
      <c r="R35" s="6">
        <f>Merge60_CSY!AF36</f>
        <v>1.396534475046576</v>
      </c>
      <c r="S35" s="81">
        <f>Wages!B34/Wages!C34</f>
        <v>0.81764953033011578</v>
      </c>
      <c r="T35" s="62">
        <f t="shared" si="9"/>
        <v>1056.5643954071952</v>
      </c>
      <c r="AA35" s="24">
        <f t="shared" si="0"/>
        <v>1982</v>
      </c>
      <c r="AB35" s="3">
        <f t="shared" si="1"/>
        <v>2.6660659645697646</v>
      </c>
      <c r="AC35" s="3">
        <f t="shared" si="2"/>
        <v>1.294914390136662</v>
      </c>
      <c r="AD35" s="3">
        <f t="shared" si="3"/>
        <v>3.0268537035869758</v>
      </c>
      <c r="AE35" s="3">
        <f t="shared" si="4"/>
        <v>4.4379429153451468</v>
      </c>
      <c r="AF35" s="3">
        <f t="shared" si="10"/>
        <v>1.223017885910437</v>
      </c>
      <c r="AG35" s="62">
        <f t="shared" si="11"/>
        <v>16.42880409189085</v>
      </c>
      <c r="AH35" s="3"/>
      <c r="AI35" s="61">
        <f t="shared" si="5"/>
        <v>0.19668105833715663</v>
      </c>
      <c r="AJ35" s="3">
        <f t="shared" si="6"/>
        <v>1.4908320402167323</v>
      </c>
      <c r="AK35" s="3">
        <f t="shared" si="7"/>
        <v>0.12712522943097407</v>
      </c>
      <c r="AL35" s="62">
        <f t="shared" si="8"/>
        <v>0.18995016619694119</v>
      </c>
    </row>
    <row r="36" spans="1:38">
      <c r="A36" s="75">
        <v>1983</v>
      </c>
      <c r="B36" s="3">
        <f>Merge60_CSY!AG37</f>
        <v>538.0292577942372</v>
      </c>
      <c r="C36" s="3">
        <f>Merge60_CSY!AH37</f>
        <v>138.86616112869223</v>
      </c>
      <c r="D36" s="3">
        <f>Merge60_CSY!AI37</f>
        <v>136.70164680179079</v>
      </c>
      <c r="E36" s="3">
        <f>Merge60_CSY!AJ37</f>
        <v>2.164514326901434</v>
      </c>
      <c r="F36" s="3">
        <f>Merge60_CSY!AK37</f>
        <v>399.16309666554497</v>
      </c>
      <c r="G36" s="3">
        <f>Merge60_CSY!AL37</f>
        <v>222.36125583388923</v>
      </c>
      <c r="H36" s="3">
        <f>Merge60_CSY!AM37</f>
        <v>155.49891006066778</v>
      </c>
      <c r="I36" s="3">
        <f>Merge60_CSY!AN37</f>
        <v>1.4363740087262353</v>
      </c>
      <c r="J36" s="3">
        <f>Merge60_CSY!AO37</f>
        <v>22.739304779714189</v>
      </c>
      <c r="K36" s="5">
        <f>Merge60_CSY!AV37</f>
        <v>541.16999999999996</v>
      </c>
      <c r="L36" s="5">
        <f>Merge60_CSY!AW37</f>
        <v>363.04</v>
      </c>
      <c r="M36" s="5">
        <f>Merge60_CSY!AX37</f>
        <v>178.14</v>
      </c>
      <c r="N36" s="3">
        <f>Merge60_CSY!AS37</f>
        <v>1064.2089938207662</v>
      </c>
      <c r="O36" s="3">
        <f>Merge60_CSY!AT37</f>
        <v>103.19202022649507</v>
      </c>
      <c r="P36" s="3">
        <f>Merge60_CSY!AU37</f>
        <v>961.01697359427112</v>
      </c>
      <c r="Q36" s="64">
        <f>Merge60_CSY!B37</f>
        <v>103008</v>
      </c>
      <c r="R36" s="6">
        <f>Merge60_CSY!AF37</f>
        <v>1.42730624488332</v>
      </c>
      <c r="S36" s="81">
        <f>Wages!B35/Wages!C35</f>
        <v>0.82646321419788282</v>
      </c>
      <c r="T36" s="62">
        <f t="shared" si="9"/>
        <v>1155.8377081762073</v>
      </c>
      <c r="AA36" s="24">
        <f t="shared" si="0"/>
        <v>1983</v>
      </c>
      <c r="AB36" s="3">
        <f t="shared" si="1"/>
        <v>2.8360312407683326</v>
      </c>
      <c r="AC36" s="3">
        <f t="shared" si="2"/>
        <v>1.351443992610567</v>
      </c>
      <c r="AD36" s="3">
        <f t="shared" si="3"/>
        <v>2.9313659319180112</v>
      </c>
      <c r="AE36" s="3">
        <f t="shared" si="4"/>
        <v>4.3170660804846461</v>
      </c>
      <c r="AF36" s="3">
        <f t="shared" si="10"/>
        <v>1.2099752086008353</v>
      </c>
      <c r="AG36" s="62">
        <f t="shared" si="11"/>
        <v>15.312115792659474</v>
      </c>
      <c r="AH36" s="3"/>
      <c r="AI36" s="61">
        <f t="shared" si="5"/>
        <v>0.2103800920581223</v>
      </c>
      <c r="AJ36" s="3">
        <f t="shared" si="6"/>
        <v>1.5685088563258194</v>
      </c>
      <c r="AK36" s="3">
        <f t="shared" si="7"/>
        <v>0.13270973788617466</v>
      </c>
      <c r="AL36" s="62">
        <f t="shared" si="8"/>
        <v>0.21586794795927425</v>
      </c>
    </row>
    <row r="37" spans="1:38">
      <c r="A37" s="75">
        <v>1984</v>
      </c>
      <c r="B37" s="3">
        <f>Merge60_CSY!AG38</f>
        <v>619.68069200988771</v>
      </c>
      <c r="C37" s="3">
        <f>Merge60_CSY!AH38</f>
        <v>156.75321335598409</v>
      </c>
      <c r="D37" s="3">
        <f>Merge60_CSY!AI38</f>
        <v>153.59186275679582</v>
      </c>
      <c r="E37" s="3">
        <f>Merge60_CSY!AJ38</f>
        <v>3.1613505991882609</v>
      </c>
      <c r="F37" s="3">
        <f>Merge60_CSY!AK38</f>
        <v>462.92747865390362</v>
      </c>
      <c r="G37" s="3">
        <f>Merge60_CSY!AL38</f>
        <v>264.21523369407714</v>
      </c>
      <c r="H37" s="3">
        <f>Merge60_CSY!AM38</f>
        <v>184.57892614121306</v>
      </c>
      <c r="I37" s="3">
        <f>Merge60_CSY!AN38</f>
        <v>8.2054037787142828</v>
      </c>
      <c r="J37" s="3">
        <f>Merge60_CSY!AO38</f>
        <v>22.338722597327724</v>
      </c>
      <c r="K37" s="5">
        <f>Merge60_CSY!AV38</f>
        <v>558.1</v>
      </c>
      <c r="L37" s="5">
        <f>Merge60_CSY!AW38</f>
        <v>357.43</v>
      </c>
      <c r="M37" s="5">
        <f>Merge60_CSY!AX38</f>
        <v>200.66</v>
      </c>
      <c r="N37" s="3">
        <f>Merge60_CSY!AS38</f>
        <v>1166.4974541903957</v>
      </c>
      <c r="O37" s="3">
        <f>Merge60_CSY!AT38</f>
        <v>103.53175944540965</v>
      </c>
      <c r="P37" s="3">
        <f>Merge60_CSY!AU38</f>
        <v>1062.9656947449862</v>
      </c>
      <c r="Q37" s="64">
        <f>Merge60_CSY!B38</f>
        <v>104357</v>
      </c>
      <c r="R37" s="6">
        <f>Merge60_CSY!AF38</f>
        <v>1.3981982379454378</v>
      </c>
      <c r="S37" s="81">
        <f>Wages!B36/Wages!C36</f>
        <v>0.77898963723488301</v>
      </c>
      <c r="T37" s="62">
        <f t="shared" si="9"/>
        <v>1314.0391350179791</v>
      </c>
      <c r="AA37" s="24">
        <f t="shared" ref="AA37:AA65" si="12">A37</f>
        <v>1984</v>
      </c>
      <c r="AB37" s="3">
        <f t="shared" ref="AB37:AB65" si="13">C37/O37^$Y$5/L37^$Y$6</f>
        <v>3.2273873954458274</v>
      </c>
      <c r="AC37" s="3">
        <f t="shared" ref="AC37:AC65" si="14">F37/P37^$Y$7/M37^$Y$8</f>
        <v>1.3990544604879684</v>
      </c>
      <c r="AD37" s="3">
        <f t="shared" ref="AD37:AD65" si="15">1/($Y$9/(1-$Y$9)*AL37/(AK37-$Y$10)/R37)</f>
        <v>2.9011584069071743</v>
      </c>
      <c r="AE37" s="3">
        <f t="shared" ref="AE37:AE65" si="16">AJ37/AI37/R37/AF37</f>
        <v>3.7301387092465879</v>
      </c>
      <c r="AF37" s="3">
        <f t="shared" si="10"/>
        <v>1.2837141242977503</v>
      </c>
      <c r="AG37" s="62">
        <f t="shared" si="11"/>
        <v>13.891999017693761</v>
      </c>
      <c r="AH37" s="3"/>
      <c r="AI37" s="61">
        <f t="shared" ref="AI37:AI65" si="17">$Y$6*C37/L37</f>
        <v>0.2412060189289966</v>
      </c>
      <c r="AJ37" s="3">
        <f t="shared" ref="AJ37:AJ65" si="18">$Y$8*F37/M37</f>
        <v>1.6149169493557884</v>
      </c>
      <c r="AK37" s="3">
        <f t="shared" ref="AK37:AK65" si="19">D37/Q37*100</f>
        <v>0.14717926229845224</v>
      </c>
      <c r="AL37" s="62">
        <f t="shared" ref="AL37:AL65" si="20">G37/Q37*100</f>
        <v>0.25318400652958323</v>
      </c>
    </row>
    <row r="38" spans="1:38">
      <c r="A38" s="75">
        <v>1985</v>
      </c>
      <c r="B38" s="3">
        <f>Merge60_CSY!AG39</f>
        <v>703.12808747699353</v>
      </c>
      <c r="C38" s="3">
        <f>Merge60_CSY!AH39</f>
        <v>159.64349923417456</v>
      </c>
      <c r="D38" s="3">
        <f>Merge60_CSY!AI39</f>
        <v>155.68541778614937</v>
      </c>
      <c r="E38" s="3">
        <f>Merge60_CSY!AJ39</f>
        <v>3.9580814480251698</v>
      </c>
      <c r="F38" s="3">
        <f>Merge60_CSY!AK39</f>
        <v>543.48458824281897</v>
      </c>
      <c r="G38" s="3">
        <f>Merge60_CSY!AL39</f>
        <v>355.98835240299167</v>
      </c>
      <c r="H38" s="3">
        <f>Merge60_CSY!AM39</f>
        <v>208.37961702357001</v>
      </c>
      <c r="I38" s="3">
        <f>Merge60_CSY!AN39</f>
        <v>43.171170809532299</v>
      </c>
      <c r="J38" s="3">
        <f>Merge60_CSY!AO39</f>
        <v>22.287789625789586</v>
      </c>
      <c r="K38" s="5">
        <f>Merge60_CSY!AV39</f>
        <v>575.51</v>
      </c>
      <c r="L38" s="5">
        <f>Merge60_CSY!AW39</f>
        <v>359.22</v>
      </c>
      <c r="M38" s="5">
        <f>Merge60_CSY!AX39</f>
        <v>216.29</v>
      </c>
      <c r="N38" s="3">
        <f>Merge60_CSY!AS39</f>
        <v>1292.7515076220889</v>
      </c>
      <c r="O38" s="3">
        <f>Merge60_CSY!AT39</f>
        <v>108.52309341205118</v>
      </c>
      <c r="P38" s="3">
        <f>Merge60_CSY!AU39</f>
        <v>1184.2284142100377</v>
      </c>
      <c r="Q38" s="64">
        <f>Merge60_CSY!B39</f>
        <v>105851</v>
      </c>
      <c r="R38" s="6">
        <f>Merge60_CSY!AF39</f>
        <v>1.3531661688619225</v>
      </c>
      <c r="S38" s="81">
        <f>Wages!B37/Wages!C37</f>
        <v>0.75292744538266387</v>
      </c>
      <c r="T38" s="62">
        <f t="shared" si="9"/>
        <v>1469.9460729558928</v>
      </c>
      <c r="AA38" s="24">
        <f t="shared" si="12"/>
        <v>1985</v>
      </c>
      <c r="AB38" s="3">
        <f t="shared" si="13"/>
        <v>3.2563408381535059</v>
      </c>
      <c r="AC38" s="3">
        <f t="shared" si="14"/>
        <v>1.5087979369076443</v>
      </c>
      <c r="AD38" s="3">
        <f t="shared" si="15"/>
        <v>2.1114606003307936</v>
      </c>
      <c r="AE38" s="3">
        <f t="shared" si="16"/>
        <v>4.0040308038614132</v>
      </c>
      <c r="AF38" s="3">
        <f t="shared" si="10"/>
        <v>1.3281492209276091</v>
      </c>
      <c r="AG38" s="62">
        <f t="shared" si="11"/>
        <v>11.228642728739173</v>
      </c>
      <c r="AH38" s="3"/>
      <c r="AI38" s="61">
        <f t="shared" si="17"/>
        <v>0.24442938750291188</v>
      </c>
      <c r="AJ38" s="3">
        <f t="shared" si="18"/>
        <v>1.7589311191917023</v>
      </c>
      <c r="AK38" s="3">
        <f t="shared" si="19"/>
        <v>0.14707977986617923</v>
      </c>
      <c r="AL38" s="62">
        <f t="shared" si="20"/>
        <v>0.33631080708069994</v>
      </c>
    </row>
    <row r="39" spans="1:38">
      <c r="A39" s="75">
        <v>1986</v>
      </c>
      <c r="B39" s="3">
        <f>Merge60_CSY!AG40</f>
        <v>765.32944649002718</v>
      </c>
      <c r="C39" s="3">
        <f>Merge60_CSY!AH40</f>
        <v>164.94105825619482</v>
      </c>
      <c r="D39" s="3">
        <f>Merge60_CSY!AI40</f>
        <v>160.54862166133984</v>
      </c>
      <c r="E39" s="3">
        <f>Merge60_CSY!AJ40</f>
        <v>4.3924365948549813</v>
      </c>
      <c r="F39" s="3">
        <f>Merge60_CSY!AK40</f>
        <v>600.3883882338323</v>
      </c>
      <c r="G39" s="3">
        <f>Merge60_CSY!AL40</f>
        <v>383.98540171835543</v>
      </c>
      <c r="H39" s="3">
        <f>Merge60_CSY!AM40</f>
        <v>233.85527517648805</v>
      </c>
      <c r="I39" s="3">
        <f>Merge60_CSY!AN40</f>
        <v>39.333362513399855</v>
      </c>
      <c r="J39" s="3">
        <f>Merge60_CSY!AO40</f>
        <v>21.881073852388703</v>
      </c>
      <c r="K39" s="5">
        <f>Merge60_CSY!AV40</f>
        <v>591.51</v>
      </c>
      <c r="L39" s="5">
        <f>Merge60_CSY!AW40</f>
        <v>360.51</v>
      </c>
      <c r="M39" s="5">
        <f>Merge60_CSY!AX40</f>
        <v>231</v>
      </c>
      <c r="N39" s="3">
        <f>Merge60_CSY!AS40</f>
        <v>1436.4935492645545</v>
      </c>
      <c r="O39" s="3">
        <f>Merge60_CSY!AT40</f>
        <v>115.20078939691406</v>
      </c>
      <c r="P39" s="3">
        <f>Merge60_CSY!AU40</f>
        <v>1321.2927598676404</v>
      </c>
      <c r="Q39" s="64">
        <f>Merge60_CSY!B40</f>
        <v>107507</v>
      </c>
      <c r="R39" s="6">
        <f>Merge60_CSY!AF40</f>
        <v>1.3558939313236855</v>
      </c>
      <c r="S39" s="81">
        <f>Wages!B38/Wages!C38</f>
        <v>0.77784016557943392</v>
      </c>
      <c r="T39" s="62">
        <f t="shared" si="9"/>
        <v>1575.3374634950212</v>
      </c>
      <c r="AA39" s="24">
        <f t="shared" si="12"/>
        <v>1986</v>
      </c>
      <c r="AB39" s="3">
        <f t="shared" si="13"/>
        <v>3.3298179430016219</v>
      </c>
      <c r="AC39" s="3">
        <f t="shared" si="14"/>
        <v>1.5402959791331656</v>
      </c>
      <c r="AD39" s="3">
        <f t="shared" si="15"/>
        <v>2.040717177173351</v>
      </c>
      <c r="AE39" s="3">
        <f t="shared" si="16"/>
        <v>4.1477143798753948</v>
      </c>
      <c r="AF39" s="3">
        <f t="shared" si="10"/>
        <v>1.2856111631302471</v>
      </c>
      <c r="AG39" s="62">
        <f t="shared" si="11"/>
        <v>10.881813971017221</v>
      </c>
      <c r="AH39" s="3"/>
      <c r="AI39" s="61">
        <f t="shared" si="17"/>
        <v>0.25163679798315486</v>
      </c>
      <c r="AJ39" s="3">
        <f t="shared" si="18"/>
        <v>1.8193587522237342</v>
      </c>
      <c r="AK39" s="3">
        <f t="shared" si="19"/>
        <v>0.14933783070994433</v>
      </c>
      <c r="AL39" s="62">
        <f t="shared" si="20"/>
        <v>0.35717246478680964</v>
      </c>
    </row>
    <row r="40" spans="1:38">
      <c r="A40" s="75">
        <v>1987</v>
      </c>
      <c r="B40" s="3">
        <f>Merge60_CSY!AG41</f>
        <v>853.97957506701914</v>
      </c>
      <c r="C40" s="3">
        <f>Merge60_CSY!AH41</f>
        <v>172.70042411785965</v>
      </c>
      <c r="D40" s="3">
        <f>Merge60_CSY!AI41</f>
        <v>167.33402001239594</v>
      </c>
      <c r="E40" s="3">
        <f>Merge60_CSY!AJ41</f>
        <v>5.3664041054637259</v>
      </c>
      <c r="F40" s="3">
        <f>Merge60_CSY!AK41</f>
        <v>681.27915094915943</v>
      </c>
      <c r="G40" s="3">
        <f>Merge60_CSY!AL41</f>
        <v>408.8527009926085</v>
      </c>
      <c r="H40" s="3">
        <f>Merge60_CSY!AM41</f>
        <v>269.02029612384666</v>
      </c>
      <c r="I40" s="3">
        <f>Merge60_CSY!AN41</f>
        <v>18.886365447694974</v>
      </c>
      <c r="J40" s="3">
        <f>Merge60_CSY!AO41</f>
        <v>22.292519280399212</v>
      </c>
      <c r="K40" s="5">
        <f>Merge60_CSY!AV41</f>
        <v>607.44000000000005</v>
      </c>
      <c r="L40" s="5">
        <f>Merge60_CSY!AW41</f>
        <v>364.38</v>
      </c>
      <c r="M40" s="5">
        <f>Merge60_CSY!AX41</f>
        <v>243.06</v>
      </c>
      <c r="N40" s="3">
        <f>Merge60_CSY!AS41</f>
        <v>1598.5241469778148</v>
      </c>
      <c r="O40" s="3">
        <f>Merge60_CSY!AT41</f>
        <v>128.62471586831387</v>
      </c>
      <c r="P40" s="3">
        <f>Merge60_CSY!AU41</f>
        <v>1469.8994311095009</v>
      </c>
      <c r="Q40" s="64">
        <f>Merge60_CSY!B41</f>
        <v>109300</v>
      </c>
      <c r="R40" s="6">
        <f>Merge60_CSY!AF41</f>
        <v>1.4451067717593582</v>
      </c>
      <c r="S40" s="81">
        <f>Wages!B39/Wages!C39</f>
        <v>0.77274241767021501</v>
      </c>
      <c r="T40" s="62">
        <f t="shared" si="9"/>
        <v>1728.9771052438423</v>
      </c>
      <c r="AA40" s="24">
        <f t="shared" si="12"/>
        <v>1987</v>
      </c>
      <c r="AB40" s="3">
        <f t="shared" si="13"/>
        <v>3.4129740940087738</v>
      </c>
      <c r="AC40" s="3">
        <f t="shared" si="14"/>
        <v>1.6335760835221955</v>
      </c>
      <c r="AD40" s="3">
        <f t="shared" si="15"/>
        <v>2.1590443421403989</v>
      </c>
      <c r="AE40" s="3">
        <f t="shared" si="16"/>
        <v>4.0247869770744114</v>
      </c>
      <c r="AF40" s="3">
        <f t="shared" si="10"/>
        <v>1.2940922837068487</v>
      </c>
      <c r="AG40" s="62">
        <f t="shared" si="11"/>
        <v>11.245265372349971</v>
      </c>
      <c r="AH40" s="3"/>
      <c r="AI40" s="61">
        <f t="shared" si="17"/>
        <v>0.26067630842752848</v>
      </c>
      <c r="AJ40" s="3">
        <f t="shared" si="18"/>
        <v>1.9620480772830229</v>
      </c>
      <c r="AK40" s="3">
        <f t="shared" si="19"/>
        <v>0.15309608418334486</v>
      </c>
      <c r="AL40" s="62">
        <f t="shared" si="20"/>
        <v>0.37406468526313674</v>
      </c>
    </row>
    <row r="41" spans="1:38">
      <c r="A41" s="75">
        <v>1988</v>
      </c>
      <c r="B41" s="3">
        <f>Merge60_CSY!AG42</f>
        <v>950.31345538992809</v>
      </c>
      <c r="C41" s="3">
        <f>Merge60_CSY!AH42</f>
        <v>177.09428189494702</v>
      </c>
      <c r="D41" s="3">
        <f>Merge60_CSY!AI42</f>
        <v>173.1601246871605</v>
      </c>
      <c r="E41" s="3">
        <f>Merge60_CSY!AJ42</f>
        <v>3.9341572077865221</v>
      </c>
      <c r="F41" s="3">
        <f>Merge60_CSY!AK42</f>
        <v>773.21917349498108</v>
      </c>
      <c r="G41" s="3">
        <f>Merge60_CSY!AL42</f>
        <v>479.62795357568609</v>
      </c>
      <c r="H41" s="3">
        <f>Merge60_CSY!AM42</f>
        <v>297.03725377205438</v>
      </c>
      <c r="I41" s="3">
        <f>Merge60_CSY!AN42</f>
        <v>25.890684602596938</v>
      </c>
      <c r="J41" s="3">
        <f>Merge60_CSY!AO42</f>
        <v>22.444650749837564</v>
      </c>
      <c r="K41" s="5">
        <f>Merge60_CSY!AV42</f>
        <v>622.4</v>
      </c>
      <c r="L41" s="5">
        <f>Merge60_CSY!AW42</f>
        <v>369.39</v>
      </c>
      <c r="M41" s="5">
        <f>Merge60_CSY!AX42</f>
        <v>253</v>
      </c>
      <c r="N41" s="3">
        <f>Merge60_CSY!AS42</f>
        <v>1787.6182357527707</v>
      </c>
      <c r="O41" s="3">
        <f>Merge60_CSY!AT42</f>
        <v>137.85865335842814</v>
      </c>
      <c r="P41" s="3">
        <f>Merge60_CSY!AU42</f>
        <v>1649.7595823943425</v>
      </c>
      <c r="Q41" s="64">
        <f>Merge60_CSY!B42</f>
        <v>111026</v>
      </c>
      <c r="R41" s="6">
        <f>Merge60_CSY!AF42</f>
        <v>1.5098893112600753</v>
      </c>
      <c r="S41" s="81">
        <f>Wages!B40/Wages!C40</f>
        <v>0.72082482400584524</v>
      </c>
      <c r="T41" s="62">
        <f t="shared" si="9"/>
        <v>1894.1052407453117</v>
      </c>
      <c r="AA41" s="24">
        <f t="shared" si="12"/>
        <v>1988</v>
      </c>
      <c r="AB41" s="3">
        <f t="shared" si="13"/>
        <v>3.4400673905816452</v>
      </c>
      <c r="AC41" s="3">
        <f t="shared" si="14"/>
        <v>1.7413739845515843</v>
      </c>
      <c r="AD41" s="3">
        <f t="shared" si="15"/>
        <v>2.0101142830270811</v>
      </c>
      <c r="AE41" s="3">
        <f t="shared" si="16"/>
        <v>3.8733136238900427</v>
      </c>
      <c r="AF41" s="3">
        <f t="shared" si="10"/>
        <v>1.3872996138544347</v>
      </c>
      <c r="AG41" s="62">
        <f t="shared" si="11"/>
        <v>10.801241548198432</v>
      </c>
      <c r="AH41" s="3"/>
      <c r="AI41" s="61">
        <f t="shared" si="17"/>
        <v>0.2636829774553206</v>
      </c>
      <c r="AJ41" s="3">
        <f t="shared" si="18"/>
        <v>2.1393415867450067</v>
      </c>
      <c r="AK41" s="3">
        <f t="shared" si="19"/>
        <v>0.15596358032097032</v>
      </c>
      <c r="AL41" s="62">
        <f t="shared" si="20"/>
        <v>0.43199606720559691</v>
      </c>
    </row>
    <row r="42" spans="1:38">
      <c r="A42" s="75">
        <v>1989</v>
      </c>
      <c r="B42" s="3">
        <f>Merge60_CSY!AG43</f>
        <v>988.92662229621817</v>
      </c>
      <c r="C42" s="3">
        <f>Merge60_CSY!AH43</f>
        <v>182.53986094846488</v>
      </c>
      <c r="D42" s="3">
        <f>Merge60_CSY!AI43</f>
        <v>179.549966671791</v>
      </c>
      <c r="E42" s="3">
        <f>Merge60_CSY!AJ43</f>
        <v>2.9898942766738843</v>
      </c>
      <c r="F42" s="3">
        <f>Merge60_CSY!AK43</f>
        <v>806.38676134775324</v>
      </c>
      <c r="G42" s="3">
        <f>Merge60_CSY!AL43</f>
        <v>554.23235329403792</v>
      </c>
      <c r="H42" s="3">
        <f>Merge60_CSY!AM43</f>
        <v>257.20222690010394</v>
      </c>
      <c r="I42" s="3">
        <f>Merge60_CSY!AN43</f>
        <v>19.881718180831832</v>
      </c>
      <c r="J42" s="3">
        <f>Merge60_CSY!AO43</f>
        <v>14.83389933444327</v>
      </c>
      <c r="K42" s="5">
        <f>Merge60_CSY!AV43</f>
        <v>635.61</v>
      </c>
      <c r="L42" s="5">
        <f>Merge60_CSY!AW43</f>
        <v>381.68</v>
      </c>
      <c r="M42" s="5">
        <f>Merge60_CSY!AX43</f>
        <v>253.94</v>
      </c>
      <c r="N42" s="3">
        <f>Merge60_CSY!AS43</f>
        <v>1995.2745777371865</v>
      </c>
      <c r="O42" s="3">
        <f>Merge60_CSY!AT43</f>
        <v>146.87595812348076</v>
      </c>
      <c r="P42" s="3">
        <f>Merge60_CSY!AU43</f>
        <v>1848.3986196137057</v>
      </c>
      <c r="Q42" s="64">
        <f>Merge60_CSY!B43</f>
        <v>112704</v>
      </c>
      <c r="R42" s="6">
        <f>Merge60_CSY!AF43</f>
        <v>1.4807892670753431</v>
      </c>
      <c r="S42" s="81">
        <f>Wages!B41/Wages!C41</f>
        <v>0.70581227554024428</v>
      </c>
      <c r="T42" s="62">
        <f t="shared" si="9"/>
        <v>1941.72024737994</v>
      </c>
      <c r="AA42" s="24">
        <f t="shared" si="12"/>
        <v>1989</v>
      </c>
      <c r="AB42" s="3">
        <f t="shared" si="13"/>
        <v>3.4518343296739538</v>
      </c>
      <c r="AC42" s="3">
        <f t="shared" si="14"/>
        <v>1.7506241605106094</v>
      </c>
      <c r="AD42" s="3">
        <f t="shared" si="15"/>
        <v>1.7889138637531483</v>
      </c>
      <c r="AE42" s="3">
        <f t="shared" si="16"/>
        <v>4.027961048193399</v>
      </c>
      <c r="AF42" s="3">
        <f t="shared" si="10"/>
        <v>1.4168073220809003</v>
      </c>
      <c r="AG42" s="62">
        <f t="shared" si="11"/>
        <v>10.209053613094857</v>
      </c>
      <c r="AH42" s="3"/>
      <c r="AI42" s="61">
        <f t="shared" si="17"/>
        <v>0.2630395187635079</v>
      </c>
      <c r="AJ42" s="3">
        <f t="shared" si="18"/>
        <v>2.2228508031165917</v>
      </c>
      <c r="AK42" s="3">
        <f t="shared" si="19"/>
        <v>0.15931108627181909</v>
      </c>
      <c r="AL42" s="62">
        <f t="shared" si="20"/>
        <v>0.49175925725266001</v>
      </c>
    </row>
    <row r="43" spans="1:38">
      <c r="A43" s="75">
        <v>1990</v>
      </c>
      <c r="B43" s="3">
        <f>Merge60_CSY!AG44</f>
        <v>1026.891761946828</v>
      </c>
      <c r="C43" s="3">
        <f>Merge60_CSY!AH44</f>
        <v>195.91619747906606</v>
      </c>
      <c r="D43" s="3">
        <f>Merge60_CSY!AI44</f>
        <v>191.03594792836731</v>
      </c>
      <c r="E43" s="3">
        <f>Merge60_CSY!AJ44</f>
        <v>4.8802495506987613</v>
      </c>
      <c r="F43" s="3">
        <f>Merge60_CSY!AK44</f>
        <v>830.97556446776184</v>
      </c>
      <c r="G43" s="3">
        <f>Merge60_CSY!AL44</f>
        <v>531.54334048580859</v>
      </c>
      <c r="H43" s="3">
        <f>Merge60_CSY!AM44</f>
        <v>265.57077458978193</v>
      </c>
      <c r="I43" s="3">
        <f>Merge60_CSY!AN44</f>
        <v>-17.431181201022078</v>
      </c>
      <c r="J43" s="3">
        <f>Merge60_CSY!AO44</f>
        <v>16.430268191149249</v>
      </c>
      <c r="K43" s="5">
        <f>Merge60_CSY!AV44</f>
        <v>647.49</v>
      </c>
      <c r="L43" s="5">
        <f>Merge60_CSY!AW44</f>
        <v>389.14</v>
      </c>
      <c r="M43" s="5">
        <f>Merge60_CSY!AX44</f>
        <v>258.35000000000002</v>
      </c>
      <c r="N43" s="3">
        <f>Merge60_CSY!AS44</f>
        <v>2152.713075750431</v>
      </c>
      <c r="O43" s="3">
        <f>Merge60_CSY!AT44</f>
        <v>145.0326119115781</v>
      </c>
      <c r="P43" s="3">
        <f>Merge60_CSY!AU44</f>
        <v>2007.680463838853</v>
      </c>
      <c r="Q43" s="64">
        <f>Merge60_CSY!B44</f>
        <v>114333</v>
      </c>
      <c r="R43" s="6">
        <f>Merge60_CSY!AF44</f>
        <v>1.5780299952505092</v>
      </c>
      <c r="S43" s="81">
        <f>Wages!B42/Wages!C42</f>
        <v>0.70844552815579953</v>
      </c>
      <c r="T43" s="62">
        <f t="shared" si="9"/>
        <v>1987.5359438432856</v>
      </c>
      <c r="AA43" s="24">
        <f t="shared" si="12"/>
        <v>1990</v>
      </c>
      <c r="AB43" s="3">
        <f t="shared" si="13"/>
        <v>3.6720358997525508</v>
      </c>
      <c r="AC43" s="3">
        <f t="shared" si="14"/>
        <v>1.7387372131115639</v>
      </c>
      <c r="AD43" s="3">
        <f t="shared" si="15"/>
        <v>2.1660640484605254</v>
      </c>
      <c r="AE43" s="3">
        <f t="shared" si="16"/>
        <v>3.6504119596266453</v>
      </c>
      <c r="AF43" s="3">
        <f t="shared" si="10"/>
        <v>1.411541128085267</v>
      </c>
      <c r="AG43" s="62">
        <f t="shared" si="11"/>
        <v>11.161092552028528</v>
      </c>
      <c r="AH43" s="3"/>
      <c r="AI43" s="61">
        <f t="shared" si="17"/>
        <v>0.27690267927606094</v>
      </c>
      <c r="AJ43" s="3">
        <f t="shared" si="18"/>
        <v>2.2515304630440611</v>
      </c>
      <c r="AK43" s="3">
        <f t="shared" si="19"/>
        <v>0.16708732205781995</v>
      </c>
      <c r="AL43" s="62">
        <f t="shared" si="20"/>
        <v>0.4649080672122734</v>
      </c>
    </row>
    <row r="44" spans="1:38">
      <c r="A44" s="75">
        <v>1991</v>
      </c>
      <c r="B44" s="3">
        <f>Merge60_CSY!AG45</f>
        <v>1121.1495067435151</v>
      </c>
      <c r="C44" s="3">
        <f>Merge60_CSY!AH45</f>
        <v>200.61787381482037</v>
      </c>
      <c r="D44" s="3">
        <f>Merge60_CSY!AI45</f>
        <v>192.25775206807609</v>
      </c>
      <c r="E44" s="3">
        <f>Merge60_CSY!AJ45</f>
        <v>8.360121746744289</v>
      </c>
      <c r="F44" s="3">
        <f>Merge60_CSY!AK45</f>
        <v>920.53163292869476</v>
      </c>
      <c r="G44" s="3">
        <f>Merge60_CSY!AL45</f>
        <v>579.73767237902928</v>
      </c>
      <c r="H44" s="3">
        <f>Merge60_CSY!AM45</f>
        <v>312.45387300629812</v>
      </c>
      <c r="I44" s="3">
        <f>Merge60_CSY!AN45</f>
        <v>-11.522844942214499</v>
      </c>
      <c r="J44" s="3">
        <f>Merge60_CSY!AO45</f>
        <v>16.817242601152724</v>
      </c>
      <c r="K44" s="5">
        <f>Merge60_CSY!AV45</f>
        <v>654.91</v>
      </c>
      <c r="L44" s="5">
        <f>Merge60_CSY!AW45</f>
        <v>390.98</v>
      </c>
      <c r="M44" s="5">
        <f>Merge60_CSY!AX45</f>
        <v>263.93</v>
      </c>
      <c r="N44" s="3">
        <f>Merge60_CSY!AS45</f>
        <v>2310.6481965526914</v>
      </c>
      <c r="O44" s="3">
        <f>Merge60_CSY!AT45</f>
        <v>141.79503107409647</v>
      </c>
      <c r="P44" s="3">
        <f>Merge60_CSY!AU45</f>
        <v>2168.8531654785947</v>
      </c>
      <c r="Q44" s="64">
        <f>Merge60_CSY!B45</f>
        <v>115823</v>
      </c>
      <c r="R44" s="6">
        <f>Merge60_CSY!AF45</f>
        <v>1.4910971198328864</v>
      </c>
      <c r="S44" s="81">
        <f>Wages!B43/Wages!C43</f>
        <v>0.69531661302428682</v>
      </c>
      <c r="T44" s="62">
        <f t="shared" si="9"/>
        <v>2142.0551164538815</v>
      </c>
      <c r="AA44" s="24">
        <f t="shared" si="12"/>
        <v>1991</v>
      </c>
      <c r="AB44" s="3">
        <f t="shared" si="13"/>
        <v>3.7622883989438454</v>
      </c>
      <c r="AC44" s="3">
        <f t="shared" si="14"/>
        <v>1.8540760393865032</v>
      </c>
      <c r="AD44" s="3">
        <f t="shared" si="15"/>
        <v>1.8825668884654083</v>
      </c>
      <c r="AE44" s="3">
        <f t="shared" si="16"/>
        <v>4.0341022648359637</v>
      </c>
      <c r="AF44" s="3">
        <f t="shared" si="10"/>
        <v>1.4381937397561804</v>
      </c>
      <c r="AG44" s="62">
        <f t="shared" si="11"/>
        <v>10.922315397342919</v>
      </c>
      <c r="AH44" s="3"/>
      <c r="AI44" s="61">
        <f t="shared" si="17"/>
        <v>0.28221349071090901</v>
      </c>
      <c r="AJ44" s="3">
        <f t="shared" si="18"/>
        <v>2.4414509265717661</v>
      </c>
      <c r="AK44" s="3">
        <f t="shared" si="19"/>
        <v>0.16599272343841559</v>
      </c>
      <c r="AL44" s="62">
        <f t="shared" si="20"/>
        <v>0.50053760684754267</v>
      </c>
    </row>
    <row r="45" spans="1:38">
      <c r="A45" s="75">
        <v>1992</v>
      </c>
      <c r="B45" s="3">
        <f>Merge60_CSY!AG46</f>
        <v>1280.809115815284</v>
      </c>
      <c r="C45" s="3">
        <f>Merge60_CSY!AH46</f>
        <v>210.04856181386253</v>
      </c>
      <c r="D45" s="3">
        <f>Merge60_CSY!AI46</f>
        <v>199.69591268091526</v>
      </c>
      <c r="E45" s="3">
        <f>Merge60_CSY!AJ46</f>
        <v>10.352649132947281</v>
      </c>
      <c r="F45" s="3">
        <f>Merge60_CSY!AK46</f>
        <v>1070.7605540014215</v>
      </c>
      <c r="G45" s="3">
        <f>Merge60_CSY!AL46</f>
        <v>650.66886207669222</v>
      </c>
      <c r="H45" s="3">
        <f>Merge60_CSY!AM46</f>
        <v>405.01547373026563</v>
      </c>
      <c r="I45" s="3">
        <f>Merge60_CSY!AN46</f>
        <v>2.8551094269502997</v>
      </c>
      <c r="J45" s="3">
        <f>Merge60_CSY!AO46</f>
        <v>17.931327621413974</v>
      </c>
      <c r="K45" s="5">
        <f>Merge60_CSY!AV46</f>
        <v>661.52</v>
      </c>
      <c r="L45" s="5">
        <f>Merge60_CSY!AW46</f>
        <v>386.99</v>
      </c>
      <c r="M45" s="5">
        <f>Merge60_CSY!AX46</f>
        <v>274.52999999999997</v>
      </c>
      <c r="N45" s="3">
        <f>Merge60_CSY!AS46</f>
        <v>2507.5696597313549</v>
      </c>
      <c r="O45" s="3">
        <f>Merge60_CSY!AT46</f>
        <v>144.04727238534915</v>
      </c>
      <c r="P45" s="3">
        <f>Merge60_CSY!AU46</f>
        <v>2363.5223873460059</v>
      </c>
      <c r="Q45" s="64">
        <f>Merge60_CSY!B46</f>
        <v>117171</v>
      </c>
      <c r="R45" s="6">
        <f>Merge60_CSY!AF46</f>
        <v>1.4202512506003702</v>
      </c>
      <c r="S45" s="81">
        <f>Wages!B44/Wages!C44</f>
        <v>0.66263279440000866</v>
      </c>
      <c r="T45" s="62">
        <f t="shared" si="9"/>
        <v>2418.9461162134262</v>
      </c>
      <c r="AA45" s="24">
        <f t="shared" si="12"/>
        <v>1992</v>
      </c>
      <c r="AB45" s="3">
        <f t="shared" si="13"/>
        <v>3.9527026809252273</v>
      </c>
      <c r="AC45" s="3">
        <f t="shared" si="14"/>
        <v>2.0446151788435114</v>
      </c>
      <c r="AD45" s="3">
        <f t="shared" si="15"/>
        <v>1.6805680757131687</v>
      </c>
      <c r="AE45" s="3">
        <f t="shared" si="16"/>
        <v>4.2670298411873064</v>
      </c>
      <c r="AF45" s="3">
        <f t="shared" si="10"/>
        <v>1.5091314653472077</v>
      </c>
      <c r="AG45" s="62">
        <f t="shared" si="11"/>
        <v>10.822033243476799</v>
      </c>
      <c r="AH45" s="3"/>
      <c r="AI45" s="61">
        <f t="shared" si="17"/>
        <v>0.29852634175979842</v>
      </c>
      <c r="AJ45" s="3">
        <f t="shared" si="18"/>
        <v>2.7302385451535174</v>
      </c>
      <c r="AK45" s="3">
        <f t="shared" si="19"/>
        <v>0.17043117553056239</v>
      </c>
      <c r="AL45" s="62">
        <f t="shared" si="20"/>
        <v>0.55531561741104218</v>
      </c>
    </row>
    <row r="46" spans="1:38">
      <c r="A46" s="75">
        <v>1993</v>
      </c>
      <c r="B46" s="3">
        <f>Merge60_CSY!AG47</f>
        <v>1459.6653309460266</v>
      </c>
      <c r="C46" s="3">
        <f>Merge60_CSY!AH47</f>
        <v>219.92442514702097</v>
      </c>
      <c r="D46" s="3">
        <f>Merge60_CSY!AI47</f>
        <v>208.00302823651933</v>
      </c>
      <c r="E46" s="3">
        <f>Merge60_CSY!AJ47</f>
        <v>11.921396910501654</v>
      </c>
      <c r="F46" s="3">
        <f>Merge60_CSY!AK47</f>
        <v>1239.7409057990058</v>
      </c>
      <c r="G46" s="3">
        <f>Merge60_CSY!AL47</f>
        <v>719.55985673218584</v>
      </c>
      <c r="H46" s="3">
        <f>Merge60_CSY!AM47</f>
        <v>549.81092475779167</v>
      </c>
      <c r="I46" s="3">
        <f>Merge60_CSY!AN47</f>
        <v>47.145859662324007</v>
      </c>
      <c r="J46" s="3">
        <f>Merge60_CSY!AO47</f>
        <v>17.51598397135232</v>
      </c>
      <c r="K46" s="5">
        <f>Merge60_CSY!AV47</f>
        <v>668.08</v>
      </c>
      <c r="L46" s="5">
        <f>Merge60_CSY!AW47</f>
        <v>376.8</v>
      </c>
      <c r="M46" s="5">
        <f>Merge60_CSY!AX47</f>
        <v>291.27999999999997</v>
      </c>
      <c r="N46" s="3">
        <f>Merge60_CSY!AS47</f>
        <v>2787.2066504750528</v>
      </c>
      <c r="O46" s="3">
        <f>Merge60_CSY!AT47</f>
        <v>155.76014024753047</v>
      </c>
      <c r="P46" s="3">
        <f>Merge60_CSY!AU47</f>
        <v>2631.4465102275221</v>
      </c>
      <c r="Q46" s="64">
        <f>Merge60_CSY!B47</f>
        <v>118517</v>
      </c>
      <c r="R46" s="6">
        <f>Merge60_CSY!AF47</f>
        <v>1.3836926321428833</v>
      </c>
      <c r="S46" s="81">
        <f>Wages!B45/Wages!C45</f>
        <v>0.5940295752070196</v>
      </c>
      <c r="T46" s="62">
        <f t="shared" si="9"/>
        <v>2725.4270632783118</v>
      </c>
      <c r="AA46" s="24">
        <f t="shared" si="12"/>
        <v>1993</v>
      </c>
      <c r="AB46" s="3">
        <f t="shared" si="13"/>
        <v>4.1540200419768265</v>
      </c>
      <c r="AC46" s="3">
        <f t="shared" si="14"/>
        <v>2.1991512572410086</v>
      </c>
      <c r="AD46" s="3">
        <f t="shared" si="15"/>
        <v>1.5630836687453356</v>
      </c>
      <c r="AE46" s="3">
        <f t="shared" si="16"/>
        <v>3.9843867201780885</v>
      </c>
      <c r="AF46" s="3">
        <f t="shared" si="10"/>
        <v>1.68341786627627</v>
      </c>
      <c r="AG46" s="62">
        <f t="shared" si="11"/>
        <v>10.484208315900306</v>
      </c>
      <c r="AH46" s="3"/>
      <c r="AI46" s="61">
        <f t="shared" si="17"/>
        <v>0.32101495178041806</v>
      </c>
      <c r="AJ46" s="3">
        <f t="shared" si="18"/>
        <v>2.9793279114917062</v>
      </c>
      <c r="AK46" s="3">
        <f t="shared" si="19"/>
        <v>0.17550480372986096</v>
      </c>
      <c r="AL46" s="62">
        <f t="shared" si="20"/>
        <v>0.60713640805301006</v>
      </c>
    </row>
    <row r="47" spans="1:38">
      <c r="A47" s="75">
        <v>1994</v>
      </c>
      <c r="B47" s="3">
        <f>Merge60_CSY!AG48</f>
        <v>1650.5995087281594</v>
      </c>
      <c r="C47" s="3">
        <f>Merge60_CSY!AH48</f>
        <v>228.72249556600318</v>
      </c>
      <c r="D47" s="3">
        <f>Merge60_CSY!AI48</f>
        <v>215.35347583558186</v>
      </c>
      <c r="E47" s="3">
        <f>Merge60_CSY!AJ48</f>
        <v>13.369019730421313</v>
      </c>
      <c r="F47" s="3">
        <f>Merge60_CSY!AK48</f>
        <v>1421.8770131621563</v>
      </c>
      <c r="G47" s="3">
        <f>Merge60_CSY!AL48</f>
        <v>814.42545789820758</v>
      </c>
      <c r="H47" s="3">
        <f>Merge60_CSY!AM48</f>
        <v>592.89636972838673</v>
      </c>
      <c r="I47" s="3">
        <f>Merge60_CSY!AN48</f>
        <v>3.6014090604477604</v>
      </c>
      <c r="J47" s="3">
        <f>Merge60_CSY!AO48</f>
        <v>18.156594596009757</v>
      </c>
      <c r="K47" s="5">
        <f>Merge60_CSY!AV48</f>
        <v>674.55</v>
      </c>
      <c r="L47" s="5">
        <f>Merge60_CSY!AW48</f>
        <v>366.28</v>
      </c>
      <c r="M47" s="5">
        <f>Merge60_CSY!AX48</f>
        <v>308.27</v>
      </c>
      <c r="N47" s="3">
        <f>Merge60_CSY!AS48</f>
        <v>3197.6572427090919</v>
      </c>
      <c r="O47" s="3">
        <f>Merge60_CSY!AT48</f>
        <v>176.5899530066124</v>
      </c>
      <c r="P47" s="3">
        <f>Merge60_CSY!AU48</f>
        <v>3021.0672897024797</v>
      </c>
      <c r="Q47" s="64">
        <f>Merge60_CSY!B48</f>
        <v>119850</v>
      </c>
      <c r="R47" s="6">
        <f>Merge60_CSY!AF48</f>
        <v>1.540696345235272</v>
      </c>
      <c r="S47" s="81">
        <f>Wages!B46/Wages!C46</f>
        <v>0.61010734094458163</v>
      </c>
      <c r="T47" s="62">
        <f t="shared" si="9"/>
        <v>3047.6535361011952</v>
      </c>
      <c r="AA47" s="24">
        <f t="shared" si="12"/>
        <v>1994</v>
      </c>
      <c r="AB47" s="3">
        <f t="shared" si="13"/>
        <v>4.3115793093852082</v>
      </c>
      <c r="AC47" s="3">
        <f t="shared" si="14"/>
        <v>2.3257446464724572</v>
      </c>
      <c r="AD47" s="3">
        <f t="shared" si="15"/>
        <v>1.6087253961606662</v>
      </c>
      <c r="AE47" s="3">
        <f t="shared" si="16"/>
        <v>3.7227137564572597</v>
      </c>
      <c r="AF47" s="3">
        <f t="shared" si="10"/>
        <v>1.6390558396687671</v>
      </c>
      <c r="AG47" s="62">
        <f t="shared" si="11"/>
        <v>9.8160172165400219</v>
      </c>
      <c r="AH47" s="3"/>
      <c r="AI47" s="61">
        <f t="shared" si="17"/>
        <v>0.34344592268565516</v>
      </c>
      <c r="AJ47" s="3">
        <f t="shared" si="18"/>
        <v>3.2287083051010783</v>
      </c>
      <c r="AK47" s="3">
        <f t="shared" si="19"/>
        <v>0.17968583715943418</v>
      </c>
      <c r="AL47" s="62">
        <f t="shared" si="20"/>
        <v>0.67953730321085326</v>
      </c>
    </row>
    <row r="48" spans="1:38">
      <c r="A48" s="75">
        <v>1995</v>
      </c>
      <c r="B48" s="3">
        <f>Merge60_CSY!AG49</f>
        <v>1830.9271803197262</v>
      </c>
      <c r="C48" s="3">
        <f>Merge60_CSY!AH49</f>
        <v>240.1603776153591</v>
      </c>
      <c r="D48" s="3">
        <f>Merge60_CSY!AI49</f>
        <v>235.76763221595664</v>
      </c>
      <c r="E48" s="3">
        <f>Merge60_CSY!AJ49</f>
        <v>4.3927453994024637</v>
      </c>
      <c r="F48" s="3">
        <f>Merge60_CSY!AK49</f>
        <v>1590.7668027043671</v>
      </c>
      <c r="G48" s="3">
        <f>Merge60_CSY!AL49</f>
        <v>904.82916146384002</v>
      </c>
      <c r="H48" s="3">
        <f>Merge60_CSY!AM49</f>
        <v>628.99438243130658</v>
      </c>
      <c r="I48" s="3">
        <f>Merge60_CSY!AN49</f>
        <v>-38.63398700602324</v>
      </c>
      <c r="J48" s="3">
        <f>Merge60_CSY!AO49</f>
        <v>18.309271803197262</v>
      </c>
      <c r="K48" s="5">
        <f>Merge60_CSY!AV49</f>
        <v>680.65</v>
      </c>
      <c r="L48" s="5">
        <f>Merge60_CSY!AW49</f>
        <v>355.3</v>
      </c>
      <c r="M48" s="5">
        <f>Merge60_CSY!AX49</f>
        <v>325.35000000000002</v>
      </c>
      <c r="N48" s="3">
        <f>Merge60_CSY!AS49</f>
        <v>3630.6707503020239</v>
      </c>
      <c r="O48" s="3">
        <f>Merge60_CSY!AT49</f>
        <v>194.55208712104616</v>
      </c>
      <c r="P48" s="3">
        <f>Merge60_CSY!AU49</f>
        <v>3436.1186631809778</v>
      </c>
      <c r="Q48" s="64">
        <f>Merge60_CSY!B49</f>
        <v>121121</v>
      </c>
      <c r="R48" s="6">
        <f>Merge60_CSY!AF49</f>
        <v>1.6520396243906115</v>
      </c>
      <c r="S48" s="81">
        <f>Wages!B47/Wages!C47</f>
        <v>0.62987051001211503</v>
      </c>
      <c r="T48" s="62">
        <f t="shared" si="9"/>
        <v>3345.1341953635033</v>
      </c>
      <c r="AA48" s="24">
        <f t="shared" si="12"/>
        <v>1995</v>
      </c>
      <c r="AB48" s="3">
        <f t="shared" si="13"/>
        <v>4.5416009122701064</v>
      </c>
      <c r="AC48" s="3">
        <f t="shared" si="14"/>
        <v>2.4106852213984902</v>
      </c>
      <c r="AD48" s="3">
        <f t="shared" si="15"/>
        <v>1.756683631254383</v>
      </c>
      <c r="AE48" s="3">
        <f t="shared" si="16"/>
        <v>3.5100695692390032</v>
      </c>
      <c r="AF48" s="3">
        <f t="shared" si="10"/>
        <v>1.5876279078072186</v>
      </c>
      <c r="AG48" s="62">
        <f t="shared" si="11"/>
        <v>9.789443478990119</v>
      </c>
      <c r="AH48" s="3"/>
      <c r="AI48" s="61">
        <f t="shared" si="17"/>
        <v>0.3717652904262525</v>
      </c>
      <c r="AJ48" s="3">
        <f t="shared" si="18"/>
        <v>3.422581103098377</v>
      </c>
      <c r="AK48" s="3">
        <f t="shared" si="19"/>
        <v>0.19465462819490975</v>
      </c>
      <c r="AL48" s="62">
        <f t="shared" si="20"/>
        <v>0.7470456497748863</v>
      </c>
    </row>
    <row r="49" spans="1:38">
      <c r="A49" s="75">
        <v>1996</v>
      </c>
      <c r="B49" s="3">
        <f>Merge60_CSY!AG50</f>
        <v>2014.1759565018642</v>
      </c>
      <c r="C49" s="3">
        <f>Merge60_CSY!AH50</f>
        <v>252.41050939713764</v>
      </c>
      <c r="D49" s="3">
        <f>Merge60_CSY!AI50</f>
        <v>246.28608363248745</v>
      </c>
      <c r="E49" s="3">
        <f>Merge60_CSY!AJ50</f>
        <v>6.1244257646501996</v>
      </c>
      <c r="F49" s="3">
        <f>Merge60_CSY!AK50</f>
        <v>1761.7654471047265</v>
      </c>
      <c r="G49" s="3">
        <f>Merge60_CSY!AL50</f>
        <v>1040.1781102130735</v>
      </c>
      <c r="H49" s="3">
        <f>Merge60_CSY!AM50</f>
        <v>680.52014986923245</v>
      </c>
      <c r="I49" s="3">
        <f>Merge60_CSY!AN50</f>
        <v>-20.925427457401831</v>
      </c>
      <c r="J49" s="3">
        <f>Merge60_CSY!AO50</f>
        <v>20.141759565018642</v>
      </c>
      <c r="K49" s="5">
        <f>Merge60_CSY!AV50</f>
        <v>689.5</v>
      </c>
      <c r="L49" s="5">
        <f>Merge60_CSY!AW50</f>
        <v>348.2</v>
      </c>
      <c r="M49" s="5">
        <f>Merge60_CSY!AX50</f>
        <v>341.3</v>
      </c>
      <c r="N49" s="3">
        <f>Merge60_CSY!AS50</f>
        <v>4078.1315952182294</v>
      </c>
      <c r="O49" s="3">
        <f>Merge60_CSY!AT50</f>
        <v>207.03687408993545</v>
      </c>
      <c r="P49" s="3">
        <f>Merge60_CSY!AU50</f>
        <v>3871.0947211282942</v>
      </c>
      <c r="Q49" s="64">
        <f>Merge60_CSY!B50</f>
        <v>122389</v>
      </c>
      <c r="R49" s="6">
        <f>Merge60_CSY!AF50</f>
        <v>1.7113722737620118</v>
      </c>
      <c r="S49" s="81">
        <f>Wages!B48/Wages!C48</f>
        <v>0.64248299114937679</v>
      </c>
      <c r="T49" s="62">
        <f t="shared" si="9"/>
        <v>3641.8071304024979</v>
      </c>
      <c r="AA49" s="24">
        <f t="shared" si="12"/>
        <v>1996</v>
      </c>
      <c r="AB49" s="3">
        <f t="shared" si="13"/>
        <v>4.7847024295883367</v>
      </c>
      <c r="AC49" s="3">
        <f t="shared" si="14"/>
        <v>2.4911653054693499</v>
      </c>
      <c r="AD49" s="3">
        <f t="shared" si="15"/>
        <v>1.6746096482740211</v>
      </c>
      <c r="AE49" s="3">
        <f t="shared" si="16"/>
        <v>3.4024020155402153</v>
      </c>
      <c r="AF49" s="3">
        <f t="shared" si="10"/>
        <v>1.5564614375409991</v>
      </c>
      <c r="AG49" s="62">
        <f t="shared" si="11"/>
        <v>8.8682429278597201</v>
      </c>
      <c r="AH49" s="3"/>
      <c r="AI49" s="61">
        <f t="shared" si="17"/>
        <v>0.39869552029990157</v>
      </c>
      <c r="AJ49" s="3">
        <f t="shared" si="18"/>
        <v>3.6133484118760864</v>
      </c>
      <c r="AK49" s="3">
        <f t="shared" si="19"/>
        <v>0.20123220520838264</v>
      </c>
      <c r="AL49" s="62">
        <f t="shared" si="20"/>
        <v>0.84989509695566878</v>
      </c>
    </row>
    <row r="50" spans="1:38">
      <c r="A50" s="75">
        <v>1997</v>
      </c>
      <c r="B50" s="3">
        <f>Merge60_CSY!AG51</f>
        <v>2201.4345750824536</v>
      </c>
      <c r="C50" s="3">
        <f>Merge60_CSY!AH51</f>
        <v>261.24372523723423</v>
      </c>
      <c r="D50" s="3">
        <f>Merge60_CSY!AI51</f>
        <v>251.54586006818835</v>
      </c>
      <c r="E50" s="3">
        <f>Merge60_CSY!AJ51</f>
        <v>9.697865169045869</v>
      </c>
      <c r="F50" s="3">
        <f>Merge60_CSY!AK51</f>
        <v>1940.1908498452194</v>
      </c>
      <c r="G50" s="3">
        <f>Merge60_CSY!AL51</f>
        <v>1109.6534327975371</v>
      </c>
      <c r="H50" s="3">
        <f>Merge60_CSY!AM51</f>
        <v>723.79450459964437</v>
      </c>
      <c r="I50" s="3">
        <f>Merge60_CSY!AN51</f>
        <v>-84.728566697213509</v>
      </c>
      <c r="J50" s="3">
        <f>Merge60_CSY!AO51</f>
        <v>22.014345750824535</v>
      </c>
      <c r="K50" s="5">
        <f>Merge60_CSY!AV51</f>
        <v>698.2</v>
      </c>
      <c r="L50" s="5">
        <f>Merge60_CSY!AW51</f>
        <v>348.4</v>
      </c>
      <c r="M50" s="5">
        <f>Merge60_CSY!AX51</f>
        <v>349.78999999999996</v>
      </c>
      <c r="N50" s="3">
        <f>Merge60_CSY!AS51</f>
        <v>4554.7451653265507</v>
      </c>
      <c r="O50" s="3">
        <f>Merge60_CSY!AT51</f>
        <v>215.68784429733839</v>
      </c>
      <c r="P50" s="3">
        <f>Merge60_CSY!AU51</f>
        <v>4339.0573210292123</v>
      </c>
      <c r="Q50" s="64">
        <f>Merge60_CSY!B51</f>
        <v>123626</v>
      </c>
      <c r="R50" s="6">
        <f>Merge60_CSY!AF51</f>
        <v>1.6620844499867244</v>
      </c>
      <c r="S50" s="81">
        <f>Wages!B49/Wages!C49</f>
        <v>0.65676385498302747</v>
      </c>
      <c r="T50" s="62">
        <f t="shared" si="9"/>
        <v>3940.5594711718031</v>
      </c>
      <c r="AA50" s="24">
        <f t="shared" si="12"/>
        <v>1997</v>
      </c>
      <c r="AB50" s="3">
        <f t="shared" si="13"/>
        <v>4.9222910979221632</v>
      </c>
      <c r="AC50" s="3">
        <f t="shared" si="14"/>
        <v>2.6059175050592098</v>
      </c>
      <c r="AD50" s="3">
        <f t="shared" si="15"/>
        <v>1.563477502060648</v>
      </c>
      <c r="AE50" s="3">
        <f t="shared" si="16"/>
        <v>3.7201534010845463</v>
      </c>
      <c r="AF50" s="3">
        <f t="shared" si="10"/>
        <v>1.5226172884100673</v>
      </c>
      <c r="AG50" s="62">
        <f t="shared" si="11"/>
        <v>8.8561148770289737</v>
      </c>
      <c r="AH50" s="3"/>
      <c r="AI50" s="61">
        <f t="shared" si="17"/>
        <v>0.41241116211388873</v>
      </c>
      <c r="AJ50" s="3">
        <f t="shared" si="18"/>
        <v>3.8827113264863309</v>
      </c>
      <c r="AK50" s="3">
        <f t="shared" si="19"/>
        <v>0.20347326619658351</v>
      </c>
      <c r="AL50" s="62">
        <f t="shared" si="20"/>
        <v>0.89758904502089931</v>
      </c>
    </row>
    <row r="51" spans="1:38">
      <c r="A51" s="75">
        <v>1998</v>
      </c>
      <c r="B51" s="3">
        <f>Merge60_CSY!AG52</f>
        <v>2373.8805812850919</v>
      </c>
      <c r="C51" s="3">
        <f>Merge60_CSY!AH52</f>
        <v>270.38543977377992</v>
      </c>
      <c r="D51" s="3">
        <f>Merge60_CSY!AI52</f>
        <v>260.80652421535456</v>
      </c>
      <c r="E51" s="3">
        <f>Merge60_CSY!AJ52</f>
        <v>9.578915558425356</v>
      </c>
      <c r="F51" s="3">
        <f>Merge60_CSY!AK52</f>
        <v>2103.4951415113119</v>
      </c>
      <c r="G51" s="3">
        <f>Merge60_CSY!AL52</f>
        <v>1180.9755790627098</v>
      </c>
      <c r="H51" s="3">
        <f>Merge60_CSY!AM52</f>
        <v>803.52562172977878</v>
      </c>
      <c r="I51" s="3">
        <f>Merge60_CSY!AN52</f>
        <v>-92.881254324687177</v>
      </c>
      <c r="J51" s="3">
        <f>Merge60_CSY!AO52</f>
        <v>26.112686394136013</v>
      </c>
      <c r="K51" s="5">
        <f>Merge60_CSY!AV52</f>
        <v>706.37</v>
      </c>
      <c r="L51" s="5">
        <f>Merge60_CSY!AW52</f>
        <v>351.77</v>
      </c>
      <c r="M51" s="5">
        <f>Merge60_CSY!AX52</f>
        <v>354.6</v>
      </c>
      <c r="N51" s="3">
        <f>Merge60_CSY!AS52</f>
        <v>5050.8024116598681</v>
      </c>
      <c r="O51" s="3">
        <f>Merge60_CSY!AT52</f>
        <v>218.0273744784096</v>
      </c>
      <c r="P51" s="3">
        <f>Merge60_CSY!AU52</f>
        <v>4832.7750371814582</v>
      </c>
      <c r="Q51" s="64">
        <f>Merge60_CSY!B52</f>
        <v>124761</v>
      </c>
      <c r="R51" s="6">
        <f>Merge60_CSY!AF52</f>
        <v>1.6566217278709818</v>
      </c>
      <c r="S51" s="81">
        <f>Wages!B50/Wages!C50</f>
        <v>0.59456510015715036</v>
      </c>
      <c r="T51" s="62">
        <f t="shared" si="9"/>
        <v>4210.580177250602</v>
      </c>
      <c r="AA51" s="24">
        <f t="shared" si="12"/>
        <v>1998</v>
      </c>
      <c r="AB51" s="3">
        <f t="shared" si="13"/>
        <v>5.059987201676079</v>
      </c>
      <c r="AC51" s="3">
        <f t="shared" si="14"/>
        <v>2.7093519696531221</v>
      </c>
      <c r="AD51" s="3">
        <f t="shared" si="15"/>
        <v>1.5329248512097611</v>
      </c>
      <c r="AE51" s="3">
        <f t="shared" si="16"/>
        <v>3.5252481250277556</v>
      </c>
      <c r="AF51" s="3">
        <f t="shared" si="10"/>
        <v>1.6819016113385878</v>
      </c>
      <c r="AG51" s="62">
        <f t="shared" si="11"/>
        <v>9.0888961631070142</v>
      </c>
      <c r="AH51" s="3"/>
      <c r="AI51" s="61">
        <f t="shared" si="17"/>
        <v>0.42275348061397783</v>
      </c>
      <c r="AJ51" s="3">
        <f t="shared" si="18"/>
        <v>4.1524156769822849</v>
      </c>
      <c r="AK51" s="3">
        <f t="shared" si="19"/>
        <v>0.20904491324641078</v>
      </c>
      <c r="AL51" s="62">
        <f t="shared" si="20"/>
        <v>0.94659034398787267</v>
      </c>
    </row>
    <row r="52" spans="1:38">
      <c r="A52" s="75">
        <v>1999</v>
      </c>
      <c r="B52" s="3">
        <f>Merge60_CSY!AG53</f>
        <v>2554.7663818077408</v>
      </c>
      <c r="C52" s="3">
        <f>Merge60_CSY!AH53</f>
        <v>277.95623208744581</v>
      </c>
      <c r="D52" s="3">
        <f>Merge60_CSY!AI53</f>
        <v>268.33510809477929</v>
      </c>
      <c r="E52" s="3">
        <f>Merge60_CSY!AJ53</f>
        <v>9.6211239926665222</v>
      </c>
      <c r="F52" s="3">
        <f>Merge60_CSY!AK53</f>
        <v>2276.8101497202952</v>
      </c>
      <c r="G52" s="3">
        <f>Merge60_CSY!AL53</f>
        <v>1318.3552448503972</v>
      </c>
      <c r="H52" s="3">
        <f>Merge60_CSY!AM53</f>
        <v>869.67753327751677</v>
      </c>
      <c r="I52" s="3">
        <f>Merge60_CSY!AN53</f>
        <v>-58.120175010688264</v>
      </c>
      <c r="J52" s="3">
        <f>Merge60_CSY!AO53</f>
        <v>30.65719658169289</v>
      </c>
      <c r="K52" s="5">
        <f>Merge60_CSY!AV53</f>
        <v>713.94</v>
      </c>
      <c r="L52" s="5">
        <f>Merge60_CSY!AW53</f>
        <v>357.68</v>
      </c>
      <c r="M52" s="5">
        <f>Merge60_CSY!AX53</f>
        <v>356.26</v>
      </c>
      <c r="N52" s="3">
        <f>Merge60_CSY!AS53</f>
        <v>5601.7879128066525</v>
      </c>
      <c r="O52" s="3">
        <f>Merge60_CSY!AT53</f>
        <v>222.62162184690419</v>
      </c>
      <c r="P52" s="3">
        <f>Merge60_CSY!AU53</f>
        <v>5379.166290959748</v>
      </c>
      <c r="Q52" s="64">
        <f>Merge60_CSY!B53</f>
        <v>125786</v>
      </c>
      <c r="R52" s="6">
        <f>Merge60_CSY!AF53</f>
        <v>1.6151363037025215</v>
      </c>
      <c r="S52" s="81">
        <f>Wages!B51/Wages!C51</f>
        <v>0.56793239453094602</v>
      </c>
      <c r="T52" s="62">
        <f t="shared" si="9"/>
        <v>4494.4940172797815</v>
      </c>
      <c r="AA52" s="24">
        <f t="shared" si="12"/>
        <v>1999</v>
      </c>
      <c r="AB52" s="3">
        <f t="shared" si="13"/>
        <v>5.1391929873035966</v>
      </c>
      <c r="AC52" s="3">
        <f t="shared" si="14"/>
        <v>2.8305796705589232</v>
      </c>
      <c r="AD52" s="3">
        <f t="shared" si="15"/>
        <v>1.3871879270560565</v>
      </c>
      <c r="AE52" s="3">
        <f t="shared" si="16"/>
        <v>3.6804490422311176</v>
      </c>
      <c r="AF52" s="3">
        <f t="shared" si="10"/>
        <v>1.7607729540166441</v>
      </c>
      <c r="AG52" s="62">
        <f t="shared" si="11"/>
        <v>8.9895813774536162</v>
      </c>
      <c r="AH52" s="3"/>
      <c r="AI52" s="61">
        <f t="shared" si="17"/>
        <v>0.42740977311590023</v>
      </c>
      <c r="AJ52" s="3">
        <f t="shared" si="18"/>
        <v>4.4736066490883246</v>
      </c>
      <c r="AK52" s="3">
        <f t="shared" si="19"/>
        <v>0.21332668826004428</v>
      </c>
      <c r="AL52" s="62">
        <f t="shared" si="20"/>
        <v>1.0480937821779825</v>
      </c>
    </row>
    <row r="53" spans="1:38">
      <c r="A53" s="75">
        <v>2000</v>
      </c>
      <c r="B53" s="3">
        <f>Merge60_CSY!AG54</f>
        <v>2770.165874760251</v>
      </c>
      <c r="C53" s="3">
        <f>Merge60_CSY!AH54</f>
        <v>284.62714541871026</v>
      </c>
      <c r="D53" s="3">
        <f>Merge60_CSY!AI54</f>
        <v>273.51921860062367</v>
      </c>
      <c r="E53" s="3">
        <f>Merge60_CSY!AJ54</f>
        <v>11.107926818086563</v>
      </c>
      <c r="F53" s="3">
        <f>Merge60_CSY!AK54</f>
        <v>2485.5387293415406</v>
      </c>
      <c r="G53" s="3">
        <f>Merge60_CSY!AL54</f>
        <v>1465.6708393332713</v>
      </c>
      <c r="H53" s="3">
        <f>Merge60_CSY!AM54</f>
        <v>944.96823157855124</v>
      </c>
      <c r="I53" s="3">
        <f>Merge60_CSY!AN54</f>
        <v>-41.657667932595047</v>
      </c>
      <c r="J53" s="3">
        <f>Merge60_CSY!AO54</f>
        <v>33.241990497123012</v>
      </c>
      <c r="K53" s="5">
        <f>Merge60_CSY!AV54</f>
        <v>720.85</v>
      </c>
      <c r="L53" s="5">
        <f>Merge60_CSY!AW54</f>
        <v>360.43</v>
      </c>
      <c r="M53" s="5">
        <f>Merge60_CSY!AX54</f>
        <v>360.41999999999996</v>
      </c>
      <c r="N53" s="3">
        <f>Merge60_CSY!AS54</f>
        <v>6191.3760504438369</v>
      </c>
      <c r="O53" s="3">
        <f>Merge60_CSY!AT54</f>
        <v>227.02805543328833</v>
      </c>
      <c r="P53" s="3">
        <f>Merge60_CSY!AU54</f>
        <v>5964.3479950105484</v>
      </c>
      <c r="Q53" s="64">
        <f>Merge60_CSY!B54</f>
        <v>126743</v>
      </c>
      <c r="R53" s="6">
        <f>Merge60_CSY!AF54</f>
        <v>1.5486737806389972</v>
      </c>
      <c r="S53" s="81">
        <f>Wages!B52/Wages!C52</f>
        <v>0.54208141449762492</v>
      </c>
      <c r="T53" s="62">
        <f t="shared" si="9"/>
        <v>4836.6394415490968</v>
      </c>
      <c r="AA53" s="24">
        <f t="shared" si="12"/>
        <v>2000</v>
      </c>
      <c r="AB53" s="3">
        <f t="shared" si="13"/>
        <v>5.2260513245841436</v>
      </c>
      <c r="AC53" s="3">
        <f t="shared" si="14"/>
        <v>2.9715663008613702</v>
      </c>
      <c r="AD53" s="3">
        <f t="shared" si="15"/>
        <v>1.2243345390548013</v>
      </c>
      <c r="AE53" s="3">
        <f t="shared" si="16"/>
        <v>3.8904173136683107</v>
      </c>
      <c r="AF53" s="3">
        <f t="shared" si="10"/>
        <v>1.8447413492800746</v>
      </c>
      <c r="AG53" s="62">
        <f t="shared" si="11"/>
        <v>8.7868208742688392</v>
      </c>
      <c r="AH53" s="3"/>
      <c r="AI53" s="61">
        <f t="shared" si="17"/>
        <v>0.43432824676161985</v>
      </c>
      <c r="AJ53" s="3">
        <f t="shared" si="18"/>
        <v>4.8273600536570624</v>
      </c>
      <c r="AK53" s="3">
        <f t="shared" si="19"/>
        <v>0.21580617359587803</v>
      </c>
      <c r="AL53" s="62">
        <f t="shared" si="20"/>
        <v>1.1564116671794666</v>
      </c>
    </row>
    <row r="54" spans="1:38">
      <c r="A54" s="75">
        <v>2001</v>
      </c>
      <c r="B54" s="3">
        <f>Merge60_CSY!AG55</f>
        <v>3000.0984401737528</v>
      </c>
      <c r="C54" s="3">
        <f>Merge60_CSY!AH55</f>
        <v>292.59690784768327</v>
      </c>
      <c r="D54" s="3">
        <f>Merge60_CSY!AI55</f>
        <v>280.91911064735825</v>
      </c>
      <c r="E54" s="3">
        <f>Merge60_CSY!AJ55</f>
        <v>11.677797200324989</v>
      </c>
      <c r="F54" s="3">
        <f>Merge60_CSY!AK55</f>
        <v>2707.5015323260695</v>
      </c>
      <c r="G54" s="3">
        <f>Merge60_CSY!AL55</f>
        <v>1599.9302028154791</v>
      </c>
      <c r="H54" s="3">
        <f>Merge60_CSY!AM55</f>
        <v>1032.9400427083826</v>
      </c>
      <c r="I54" s="3">
        <f>Merge60_CSY!AN55</f>
        <v>-35.630007079948996</v>
      </c>
      <c r="J54" s="3">
        <f>Merge60_CSY!AO55</f>
        <v>39.001279722258786</v>
      </c>
      <c r="K54" s="5">
        <f>Merge60_CSY!AV55</f>
        <v>727.97</v>
      </c>
      <c r="L54" s="5">
        <f>Merge60_CSY!AW55</f>
        <v>363.98500000000001</v>
      </c>
      <c r="M54" s="5">
        <f>Merge60_CSY!AX55</f>
        <v>363.98500000000001</v>
      </c>
      <c r="N54" s="3">
        <f>Merge60_CSY!AS55</f>
        <v>6826.7754795001956</v>
      </c>
      <c r="O54" s="3">
        <f>Merge60_CSY!AT55</f>
        <v>237.48773863873927</v>
      </c>
      <c r="P54" s="3">
        <f>Merge60_CSY!AU55</f>
        <v>6589.2877408614568</v>
      </c>
      <c r="Q54" s="64">
        <f>Merge60_CSY!B55</f>
        <v>127627</v>
      </c>
      <c r="R54" s="6">
        <f>Merge60_CSY!AF55</f>
        <v>1.5555931958331977</v>
      </c>
      <c r="S54" s="81">
        <f>Wages!B53/Wages!C53</f>
        <v>0.51733230605440739</v>
      </c>
      <c r="T54" s="62">
        <f t="shared" si="9"/>
        <v>5201.8145502543439</v>
      </c>
      <c r="AA54" s="24">
        <f t="shared" si="12"/>
        <v>2001</v>
      </c>
      <c r="AB54" s="3">
        <f t="shared" si="13"/>
        <v>5.3098719465411737</v>
      </c>
      <c r="AC54" s="3">
        <f t="shared" si="14"/>
        <v>3.1200297039736862</v>
      </c>
      <c r="AD54" s="3">
        <f t="shared" si="15"/>
        <v>1.1647224053782572</v>
      </c>
      <c r="AE54" s="3">
        <f t="shared" si="16"/>
        <v>3.9165880486264428</v>
      </c>
      <c r="AF54" s="3">
        <f t="shared" si="10"/>
        <v>1.9329935291047353</v>
      </c>
      <c r="AG54" s="62">
        <f t="shared" si="11"/>
        <v>8.8178097510735594</v>
      </c>
      <c r="AH54" s="3"/>
      <c r="AI54" s="61">
        <f t="shared" si="17"/>
        <v>0.44212893200606013</v>
      </c>
      <c r="AJ54" s="3">
        <f t="shared" si="18"/>
        <v>5.206948288056509</v>
      </c>
      <c r="AK54" s="3">
        <f t="shared" si="19"/>
        <v>0.2201094679396666</v>
      </c>
      <c r="AL54" s="62">
        <f t="shared" si="20"/>
        <v>1.2535985354317496</v>
      </c>
    </row>
    <row r="55" spans="1:38">
      <c r="A55" s="75">
        <v>2002</v>
      </c>
      <c r="B55" s="3">
        <f>Merge60_CSY!AG56</f>
        <v>3272.5694196652648</v>
      </c>
      <c r="C55" s="3">
        <f>Merge60_CSY!AH56</f>
        <v>301.08229211349175</v>
      </c>
      <c r="D55" s="3">
        <f>Merge60_CSY!AI56</f>
        <v>288.34504681204822</v>
      </c>
      <c r="E55" s="3">
        <f>Merge60_CSY!AJ56</f>
        <v>12.737245301443508</v>
      </c>
      <c r="F55" s="3">
        <f>Merge60_CSY!AK56</f>
        <v>2971.487127551773</v>
      </c>
      <c r="G55" s="3">
        <f>Merge60_CSY!AL56</f>
        <v>1687.0057423763494</v>
      </c>
      <c r="H55" s="3">
        <f>Merge60_CSY!AM56</f>
        <v>1186.6191725370968</v>
      </c>
      <c r="I55" s="3">
        <f>Merge60_CSY!AN56</f>
        <v>-52.046240763013195</v>
      </c>
      <c r="J55" s="3">
        <f>Merge60_CSY!AO56</f>
        <v>45.8159718753137</v>
      </c>
      <c r="K55" s="5">
        <f>Merge60_CSY!AV56</f>
        <v>732.8</v>
      </c>
      <c r="L55" s="5">
        <f>Merge60_CSY!AW56</f>
        <v>366.4</v>
      </c>
      <c r="M55" s="5">
        <f>Merge60_CSY!AX56</f>
        <v>366.4</v>
      </c>
      <c r="N55" s="3">
        <f>Merge60_CSY!AS56</f>
        <v>7518.3767482335688</v>
      </c>
      <c r="O55" s="3">
        <f>Merge60_CSY!AT56</f>
        <v>249.45264764903087</v>
      </c>
      <c r="P55" s="3">
        <f>Merge60_CSY!AU56</f>
        <v>7268.9241005845379</v>
      </c>
      <c r="Q55" s="64">
        <f>Merge60_CSY!B56</f>
        <v>128453</v>
      </c>
      <c r="R55" s="6">
        <f>Merge60_CSY!AF56</f>
        <v>1.5724130780232819</v>
      </c>
      <c r="S55" s="81">
        <f>Wages!B54/Wages!C54</f>
        <v>0.50466335228281645</v>
      </c>
      <c r="T55" s="62">
        <f t="shared" si="9"/>
        <v>5637.7593904596824</v>
      </c>
      <c r="AA55" s="24">
        <f t="shared" si="12"/>
        <v>2002</v>
      </c>
      <c r="AB55" s="3">
        <f t="shared" si="13"/>
        <v>5.4066887794495839</v>
      </c>
      <c r="AC55" s="3">
        <f t="shared" si="14"/>
        <v>3.3095122084964932</v>
      </c>
      <c r="AD55" s="3">
        <f t="shared" si="15"/>
        <v>1.1533937535821137</v>
      </c>
      <c r="AE55" s="3">
        <f t="shared" si="16"/>
        <v>4.0314298866925489</v>
      </c>
      <c r="AF55" s="3">
        <f t="shared" si="10"/>
        <v>1.9815189580867245</v>
      </c>
      <c r="AG55" s="62">
        <f t="shared" si="11"/>
        <v>9.2137184685240303</v>
      </c>
      <c r="AH55" s="3"/>
      <c r="AI55" s="61">
        <f t="shared" si="17"/>
        <v>0.4519521306288769</v>
      </c>
      <c r="AJ55" s="3">
        <f t="shared" si="18"/>
        <v>5.6769677655192163</v>
      </c>
      <c r="AK55" s="3">
        <f t="shared" si="19"/>
        <v>0.2244751362849044</v>
      </c>
      <c r="AL55" s="62">
        <f t="shared" si="20"/>
        <v>1.3133252959264086</v>
      </c>
    </row>
    <row r="56" spans="1:38">
      <c r="A56" s="75">
        <v>2003</v>
      </c>
      <c r="B56" s="3">
        <f>Merge60_CSY!AG57</f>
        <v>3600.6568992182702</v>
      </c>
      <c r="C56" s="3">
        <f>Merge60_CSY!AH57</f>
        <v>308.60920348562053</v>
      </c>
      <c r="D56" s="3">
        <f>Merge60_CSY!AI57</f>
        <v>295.06801329404402</v>
      </c>
      <c r="E56" s="3">
        <f>Merge60_CSY!AJ57</f>
        <v>13.541190191576492</v>
      </c>
      <c r="F56" s="3">
        <f>Merge60_CSY!AK57</f>
        <v>3292.0476957326496</v>
      </c>
      <c r="G56" s="3">
        <f>Merge60_CSY!AL57</f>
        <v>1786.6451261544446</v>
      </c>
      <c r="H56" s="3">
        <f>Merge60_CSY!AM57</f>
        <v>1418.036737429602</v>
      </c>
      <c r="I56" s="3">
        <f>Merge60_CSY!AN57</f>
        <v>-36.956635559547195</v>
      </c>
      <c r="J56" s="3">
        <f>Merge60_CSY!AO57</f>
        <v>50.409196589055774</v>
      </c>
      <c r="K56" s="5">
        <f>Merge60_CSY!AV57</f>
        <v>737.36</v>
      </c>
      <c r="L56" s="5">
        <f>Merge60_CSY!AW57</f>
        <v>362.04376000000002</v>
      </c>
      <c r="M56" s="5">
        <f>Merge60_CSY!AX57</f>
        <v>375.31624000000005</v>
      </c>
      <c r="N56" s="3">
        <f>Merge60_CSY!AS57</f>
        <v>8329.0770833589868</v>
      </c>
      <c r="O56" s="3">
        <f>Merge60_CSY!AT57</f>
        <v>273.76520961522931</v>
      </c>
      <c r="P56" s="3">
        <f>Merge60_CSY!AU57</f>
        <v>8055.3118737437571</v>
      </c>
      <c r="Q56" s="64">
        <f>Merge60_CSY!B57</f>
        <v>129227</v>
      </c>
      <c r="R56" s="6">
        <f>Merge60_CSY!AF57</f>
        <v>1.5654807468860137</v>
      </c>
      <c r="S56" s="81">
        <f>Wages!B55/Wages!C55</f>
        <v>0.48161250355454321</v>
      </c>
      <c r="T56" s="62">
        <f t="shared" si="9"/>
        <v>6165.813703013775</v>
      </c>
      <c r="U56">
        <v>4803</v>
      </c>
      <c r="V56">
        <f>B56/Q56</f>
        <v>2.7863038677817097E-2</v>
      </c>
      <c r="AA56" s="24">
        <f t="shared" si="12"/>
        <v>2003</v>
      </c>
      <c r="AB56" s="3">
        <f t="shared" si="13"/>
        <v>5.5062678176041988</v>
      </c>
      <c r="AC56" s="3">
        <f t="shared" si="14"/>
        <v>3.4959342909509967</v>
      </c>
      <c r="AD56" s="3">
        <f t="shared" si="15"/>
        <v>1.1155562327733111</v>
      </c>
      <c r="AE56" s="3">
        <f t="shared" si="16"/>
        <v>4.0290840577531952</v>
      </c>
      <c r="AF56" s="3">
        <f t="shared" si="10"/>
        <v>2.076358052624248</v>
      </c>
      <c r="AG56" s="62">
        <f t="shared" si="11"/>
        <v>9.3325439016247085</v>
      </c>
      <c r="AH56" s="3"/>
      <c r="AI56" s="61">
        <f t="shared" si="17"/>
        <v>0.46882471311504254</v>
      </c>
      <c r="AJ56" s="3">
        <f t="shared" si="18"/>
        <v>6.1399778144768105</v>
      </c>
      <c r="AK56" s="3">
        <f t="shared" si="19"/>
        <v>0.2283330985738615</v>
      </c>
      <c r="AL56" s="62">
        <f t="shared" si="20"/>
        <v>1.382563339050233</v>
      </c>
    </row>
    <row r="57" spans="1:38">
      <c r="A57" s="75">
        <v>2004</v>
      </c>
      <c r="B57" s="3">
        <f>Merge60_CSY!AG58</f>
        <v>3963.7845832467005</v>
      </c>
      <c r="C57" s="3">
        <f>Merge60_CSY!AH58</f>
        <v>328.0516660381976</v>
      </c>
      <c r="D57" s="3">
        <f>Merge60_CSY!AI58</f>
        <v>320.04692849805798</v>
      </c>
      <c r="E57" s="3">
        <f>Merge60_CSY!AJ58</f>
        <v>8.0047375401396295</v>
      </c>
      <c r="F57" s="3">
        <f>Merge60_CSY!AK58</f>
        <v>3635.7329172085028</v>
      </c>
      <c r="G57" s="3">
        <f>Merge60_CSY!AL58</f>
        <v>1897.5954361122567</v>
      </c>
      <c r="H57" s="3">
        <f>Merge60_CSY!AM58</f>
        <v>1614.4309399179042</v>
      </c>
      <c r="I57" s="3">
        <f>Merge60_CSY!AN58</f>
        <v>-56.322203263147919</v>
      </c>
      <c r="J57" s="3">
        <f>Merge60_CSY!AO58</f>
        <v>67.38433791519391</v>
      </c>
      <c r="K57" s="5">
        <f>Merge60_CSY!AV58</f>
        <v>742.64</v>
      </c>
      <c r="L57" s="5">
        <f>Merge60_CSY!AW58</f>
        <v>348.29816</v>
      </c>
      <c r="M57" s="5">
        <f>Merge60_CSY!AX58</f>
        <v>394.34183999999999</v>
      </c>
      <c r="N57" s="3">
        <f>Merge60_CSY!AS58</f>
        <v>9330.6599666206384</v>
      </c>
      <c r="O57" s="3">
        <f>Merge60_CSY!AT58</f>
        <v>302.24295676485832</v>
      </c>
      <c r="P57" s="3">
        <f>Merge60_CSY!AU58</f>
        <v>9028.4170098557806</v>
      </c>
      <c r="Q57" s="64">
        <f>Merge60_CSY!B58</f>
        <v>129988</v>
      </c>
      <c r="R57" s="6">
        <f>Merge60_CSY!AF58</f>
        <v>1.7138781548874473</v>
      </c>
      <c r="S57" s="81">
        <f>Wages!B56/Wages!C56</f>
        <v>0.46039068706886788</v>
      </c>
      <c r="T57" s="62">
        <f t="shared" si="9"/>
        <v>6747.9010141019917</v>
      </c>
      <c r="AA57" s="24">
        <f t="shared" si="12"/>
        <v>2004</v>
      </c>
      <c r="AB57" s="3">
        <f t="shared" si="13"/>
        <v>5.8968384789503281</v>
      </c>
      <c r="AC57" s="3">
        <f t="shared" si="14"/>
        <v>3.604105441304283</v>
      </c>
      <c r="AD57" s="3">
        <f t="shared" si="15"/>
        <v>1.2756170034662737</v>
      </c>
      <c r="AE57" s="3">
        <f t="shared" si="16"/>
        <v>3.3466475966996243</v>
      </c>
      <c r="AF57" s="3">
        <f t="shared" si="10"/>
        <v>2.1720682630802526</v>
      </c>
      <c r="AG57" s="62">
        <f t="shared" si="11"/>
        <v>9.2726475553598533</v>
      </c>
      <c r="AH57" s="3"/>
      <c r="AI57" s="61">
        <f t="shared" si="17"/>
        <v>0.51802862329507771</v>
      </c>
      <c r="AJ57" s="3">
        <f t="shared" si="18"/>
        <v>6.4538245346878531</v>
      </c>
      <c r="AK57" s="3">
        <f t="shared" si="19"/>
        <v>0.24621267232210509</v>
      </c>
      <c r="AL57" s="62">
        <f t="shared" si="20"/>
        <v>1.4598235499525007</v>
      </c>
    </row>
    <row r="58" spans="1:38">
      <c r="A58" s="75">
        <v>2005</v>
      </c>
      <c r="B58" s="3">
        <f>Merge60_CSY!AG59</f>
        <v>4412.0900157888191</v>
      </c>
      <c r="C58" s="3">
        <f>Merge60_CSY!AH59</f>
        <v>345.21113189827764</v>
      </c>
      <c r="D58" s="3">
        <f>Merge60_CSY!AI59</f>
        <v>332.06135479594144</v>
      </c>
      <c r="E58" s="3">
        <f>Merge60_CSY!AJ59</f>
        <v>13.149777102336177</v>
      </c>
      <c r="F58" s="3">
        <f>Merge60_CSY!AK59</f>
        <v>4066.8788838905416</v>
      </c>
      <c r="G58" s="3">
        <f>Merge60_CSY!AL59</f>
        <v>2045.9276128436461</v>
      </c>
      <c r="H58" s="3">
        <f>Merge60_CSY!AM59</f>
        <v>1770.9900317851407</v>
      </c>
      <c r="I58" s="3">
        <f>Merge60_CSY!AN59</f>
        <v>-188.19197904071157</v>
      </c>
      <c r="J58" s="3">
        <f>Merge60_CSY!AO59</f>
        <v>61.76926022104346</v>
      </c>
      <c r="K58" s="5">
        <f>Merge60_CSY!AV59</f>
        <v>746.47</v>
      </c>
      <c r="L58" s="5">
        <f>Merge60_CSY!AW59</f>
        <v>334.41856000000001</v>
      </c>
      <c r="M58" s="5">
        <f>Merge60_CSY!AX59</f>
        <v>412.05144000000001</v>
      </c>
      <c r="N58" s="3">
        <f>Merge60_CSY!AS59</f>
        <v>10478.557908207509</v>
      </c>
      <c r="O58" s="3">
        <f>Merge60_CSY!AT59</f>
        <v>330.4411932312471</v>
      </c>
      <c r="P58" s="3">
        <f>Merge60_CSY!AU59</f>
        <v>10148.116714976262</v>
      </c>
      <c r="Q58" s="64">
        <f>Merge60_CSY!B59</f>
        <v>130756</v>
      </c>
      <c r="R58" s="6">
        <f>Merge60_CSY!AF59</f>
        <v>1.6252204279724485</v>
      </c>
      <c r="S58" s="81">
        <f>Wages!B57/Wages!C57</f>
        <v>0.4413169040849016</v>
      </c>
      <c r="T58" s="62">
        <f t="shared" si="9"/>
        <v>7466.9743364760216</v>
      </c>
      <c r="AA58" s="24">
        <f t="shared" si="12"/>
        <v>2005</v>
      </c>
      <c r="AB58" s="3">
        <f t="shared" si="13"/>
        <v>6.2668875427540272</v>
      </c>
      <c r="AC58" s="3">
        <f t="shared" si="14"/>
        <v>3.7746752840385409</v>
      </c>
      <c r="AD58" s="3">
        <f t="shared" si="15"/>
        <v>1.1741294279077104</v>
      </c>
      <c r="AE58" s="3">
        <f t="shared" si="16"/>
        <v>3.3043726903416415</v>
      </c>
      <c r="AF58" s="3">
        <f t="shared" si="10"/>
        <v>2.2659453801652192</v>
      </c>
      <c r="AG58" s="62">
        <f t="shared" si="11"/>
        <v>8.7913270046829997</v>
      </c>
      <c r="AH58" s="3"/>
      <c r="AI58" s="61">
        <f t="shared" si="17"/>
        <v>0.56774995545717533</v>
      </c>
      <c r="AJ58" s="3">
        <f t="shared" si="18"/>
        <v>6.9088830722770416</v>
      </c>
      <c r="AK58" s="3">
        <f t="shared" si="19"/>
        <v>0.25395496558164932</v>
      </c>
      <c r="AL58" s="62">
        <f t="shared" si="20"/>
        <v>1.5646911903420464</v>
      </c>
    </row>
    <row r="59" spans="1:38">
      <c r="A59" s="75">
        <v>2006</v>
      </c>
      <c r="B59" s="3">
        <f>Merge60_CSY!AG60</f>
        <v>4971.3901161571748</v>
      </c>
      <c r="C59" s="3">
        <f>Merge60_CSY!AH60</f>
        <v>362.47168849319149</v>
      </c>
      <c r="D59" s="3">
        <f>Merge60_CSY!AI60</f>
        <v>347.59733936033126</v>
      </c>
      <c r="E59" s="3">
        <f>Merge60_CSY!AJ60</f>
        <v>14.874349132860205</v>
      </c>
      <c r="F59" s="3">
        <f>Merge60_CSY!AK60</f>
        <v>4608.9184276639835</v>
      </c>
      <c r="G59" s="3">
        <f>Merge60_CSY!AL60</f>
        <v>2205.6860168380372</v>
      </c>
      <c r="H59" s="3">
        <f>Merge60_CSY!AM60</f>
        <v>2021.3822611076728</v>
      </c>
      <c r="I59" s="3">
        <f>Merge60_CSY!AN60</f>
        <v>-317.22207820822996</v>
      </c>
      <c r="J59" s="3">
        <f>Merge60_CSY!AO60</f>
        <v>64.628071510043284</v>
      </c>
      <c r="K59" s="5">
        <f>Merge60_CSY!AV60</f>
        <v>749.78</v>
      </c>
      <c r="L59" s="5">
        <f>Merge60_CSY!AW60</f>
        <v>319.40628000000004</v>
      </c>
      <c r="M59" s="5">
        <f>Merge60_CSY!AX60</f>
        <v>430.37372000000005</v>
      </c>
      <c r="N59" s="3">
        <f>Merge60_CSY!AS60</f>
        <v>11725.620044582274</v>
      </c>
      <c r="O59" s="3">
        <f>Merge60_CSY!AT60</f>
        <v>360.27506262787836</v>
      </c>
      <c r="P59" s="3">
        <f>Merge60_CSY!AU60</f>
        <v>11365.344981954397</v>
      </c>
      <c r="Q59" s="64">
        <f>Merge60_CSY!B60</f>
        <v>131448</v>
      </c>
      <c r="R59" s="6">
        <f>Merge60_CSY!AF60</f>
        <v>1.5897830810138784</v>
      </c>
      <c r="S59" s="81">
        <f>Wages!B58/Wages!C58</f>
        <v>0.43538783327217556</v>
      </c>
      <c r="T59" s="62">
        <f t="shared" si="9"/>
        <v>8369.2353871335054</v>
      </c>
      <c r="AA59" s="24">
        <f t="shared" si="12"/>
        <v>2006</v>
      </c>
      <c r="AB59" s="3">
        <f t="shared" si="13"/>
        <v>6.6673983714367058</v>
      </c>
      <c r="AC59" s="3">
        <f t="shared" si="14"/>
        <v>4.0108111539537665</v>
      </c>
      <c r="AD59" s="3">
        <f t="shared" si="15"/>
        <v>1.1272544293697204</v>
      </c>
      <c r="AE59" s="3">
        <f t="shared" si="16"/>
        <v>3.2892463844113071</v>
      </c>
      <c r="AF59" s="3">
        <f t="shared" si="10"/>
        <v>2.2968028125279889</v>
      </c>
      <c r="AG59" s="62">
        <f t="shared" si="11"/>
        <v>8.5161257912278465</v>
      </c>
      <c r="AH59" s="3"/>
      <c r="AI59" s="61">
        <f t="shared" si="17"/>
        <v>0.62415625851581658</v>
      </c>
      <c r="AJ59" s="3">
        <f t="shared" si="18"/>
        <v>7.4963752418823058</v>
      </c>
      <c r="AK59" s="3">
        <f t="shared" si="19"/>
        <v>0.26443714576131339</v>
      </c>
      <c r="AL59" s="62">
        <f t="shared" si="20"/>
        <v>1.6779913097483699</v>
      </c>
    </row>
    <row r="60" spans="1:38">
      <c r="A60" s="75">
        <v>2007</v>
      </c>
      <c r="B60" s="3">
        <f>Merge60_CSY!AG61</f>
        <v>5675.4580212359388</v>
      </c>
      <c r="C60" s="3">
        <f>Merge60_CSY!AH61</f>
        <v>376.04262851037669</v>
      </c>
      <c r="D60" s="3">
        <f>Merge60_CSY!AI61</f>
        <v>363.76040243176703</v>
      </c>
      <c r="E60" s="3">
        <f>Merge60_CSY!AJ61</f>
        <v>12.282226078609638</v>
      </c>
      <c r="F60" s="3">
        <f>Merge60_CSY!AK61</f>
        <v>5299.415392725562</v>
      </c>
      <c r="G60" s="3">
        <f>Merge60_CSY!AL61</f>
        <v>2568.6380020473698</v>
      </c>
      <c r="H60" s="3">
        <f>Merge60_CSY!AM61</f>
        <v>2219.4621604072004</v>
      </c>
      <c r="I60" s="3">
        <f>Merge60_CSY!AN61</f>
        <v>-431.85881797368893</v>
      </c>
      <c r="J60" s="3">
        <f>Merge60_CSY!AO61</f>
        <v>79.456412297303132</v>
      </c>
      <c r="K60" s="5">
        <f>Merge60_CSY!AV61</f>
        <v>753.21</v>
      </c>
      <c r="L60" s="5">
        <f>Merge60_CSY!AW61</f>
        <v>307.30967999999996</v>
      </c>
      <c r="M60" s="5">
        <f>Merge60_CSY!AX61</f>
        <v>445.90032000000008</v>
      </c>
      <c r="N60" s="3">
        <f>Merge60_CSY!AS61</f>
        <v>13160.721303460832</v>
      </c>
      <c r="O60" s="3">
        <f>Merge60_CSY!AT61</f>
        <v>392.79556722213403</v>
      </c>
      <c r="P60" s="3">
        <f>Merge60_CSY!AU61</f>
        <v>12767.925736238698</v>
      </c>
      <c r="Q60" s="64">
        <f>Merge60_CSY!B61</f>
        <v>132129</v>
      </c>
      <c r="R60" s="6">
        <f>Merge60_CSY!AF61</f>
        <v>1.7009149691187713</v>
      </c>
      <c r="S60" s="81">
        <f>Wages!B59/Wages!C59</f>
        <v>0.43034440820313596</v>
      </c>
      <c r="T60" s="62">
        <f t="shared" si="9"/>
        <v>9505.2750511748745</v>
      </c>
      <c r="AA60" s="24">
        <f t="shared" si="12"/>
        <v>2007</v>
      </c>
      <c r="AB60" s="3">
        <f t="shared" si="13"/>
        <v>6.9805047438480452</v>
      </c>
      <c r="AC60" s="3">
        <f t="shared" si="14"/>
        <v>4.3443560318216203</v>
      </c>
      <c r="AD60" s="3">
        <f t="shared" si="15"/>
        <v>1.0948948438744976</v>
      </c>
      <c r="AE60" s="3">
        <f t="shared" si="16"/>
        <v>3.127506716426518</v>
      </c>
      <c r="AF60" s="3">
        <f t="shared" si="10"/>
        <v>2.3237202132482895</v>
      </c>
      <c r="AG60" s="62">
        <f t="shared" si="11"/>
        <v>7.9570941616182989</v>
      </c>
      <c r="AH60" s="3"/>
      <c r="AI60" s="61">
        <f t="shared" si="17"/>
        <v>0.67301311719405388</v>
      </c>
      <c r="AJ60" s="3">
        <f t="shared" si="18"/>
        <v>8.3193274562079083</v>
      </c>
      <c r="AK60" s="3">
        <f t="shared" si="19"/>
        <v>0.27530701241344979</v>
      </c>
      <c r="AL60" s="62">
        <f t="shared" si="20"/>
        <v>1.9440380249963065</v>
      </c>
    </row>
    <row r="61" spans="1:38">
      <c r="A61" s="75">
        <v>2008</v>
      </c>
      <c r="B61" s="3">
        <f>Merge60_CSY!AG62</f>
        <v>6222.2695710549178</v>
      </c>
      <c r="C61" s="3">
        <f>Merge60_CSY!AH62</f>
        <v>396.2680079218286</v>
      </c>
      <c r="D61" s="3">
        <f>Merge60_CSY!AI62</f>
        <v>389.34530616202738</v>
      </c>
      <c r="E61" s="3">
        <f>Merge60_CSY!AJ62</f>
        <v>6.9227017598012281</v>
      </c>
      <c r="F61" s="3">
        <f>Merge60_CSY!AK62</f>
        <v>5826.0015631330889</v>
      </c>
      <c r="G61" s="3">
        <f>Merge60_CSY!AL62</f>
        <v>2779.6731569600856</v>
      </c>
      <c r="H61" s="3">
        <f>Merge60_CSY!AM62</f>
        <v>2537.7719142115493</v>
      </c>
      <c r="I61" s="3">
        <f>Merge60_CSY!AN62</f>
        <v>-421.44471796668483</v>
      </c>
      <c r="J61" s="3">
        <f>Merge60_CSY!AO62</f>
        <v>87.111773994768839</v>
      </c>
      <c r="K61" s="5">
        <f>Merge60_CSY!AV62</f>
        <v>755.64</v>
      </c>
      <c r="L61" s="5">
        <f>Merge60_CSY!AW62</f>
        <v>299.23343999999997</v>
      </c>
      <c r="M61" s="5">
        <f>Merge60_CSY!AX62</f>
        <v>456.40656000000001</v>
      </c>
      <c r="N61" s="3">
        <f>Merge60_CSY!AS62</f>
        <v>14722.14739869499</v>
      </c>
      <c r="O61" s="3">
        <f>Merge60_CSY!AT62</f>
        <v>428.16402220751525</v>
      </c>
      <c r="P61" s="3">
        <f>Merge60_CSY!AU62</f>
        <v>14293.983376487475</v>
      </c>
      <c r="Q61" s="64">
        <f>Merge60_CSY!B62</f>
        <v>132802</v>
      </c>
      <c r="R61" s="6">
        <f>Merge60_CSY!AF62</f>
        <v>1.7674489604326868</v>
      </c>
      <c r="S61" s="81">
        <f>Wages!B60/Wages!C60</f>
        <v>0.42679165888434251</v>
      </c>
      <c r="T61" s="62">
        <f t="shared" si="9"/>
        <v>10368.265928776149</v>
      </c>
      <c r="AA61" s="24">
        <f t="shared" si="12"/>
        <v>2008</v>
      </c>
      <c r="AB61" s="3">
        <f t="shared" si="13"/>
        <v>7.3749319737299661</v>
      </c>
      <c r="AC61" s="3">
        <f t="shared" si="14"/>
        <v>4.5423260038821391</v>
      </c>
      <c r="AD61" s="3">
        <f t="shared" si="15"/>
        <v>1.1422114766005442</v>
      </c>
      <c r="AE61" s="3">
        <f t="shared" si="16"/>
        <v>2.9624035860572606</v>
      </c>
      <c r="AF61" s="3">
        <f t="shared" si="10"/>
        <v>2.3430635983234924</v>
      </c>
      <c r="AG61" s="62">
        <f t="shared" si="11"/>
        <v>7.9282040871238477</v>
      </c>
      <c r="AH61" s="3"/>
      <c r="AI61" s="61">
        <f t="shared" si="17"/>
        <v>0.72835243399603256</v>
      </c>
      <c r="AJ61" s="3">
        <f t="shared" si="18"/>
        <v>8.9354567870215575</v>
      </c>
      <c r="AK61" s="3">
        <f t="shared" si="19"/>
        <v>0.2931772911266603</v>
      </c>
      <c r="AL61" s="62">
        <f t="shared" si="20"/>
        <v>2.0930958547010476</v>
      </c>
    </row>
    <row r="62" spans="1:38">
      <c r="A62" s="75">
        <v>2009</v>
      </c>
      <c r="B62" s="3">
        <f>Merge60_CSY!AG63</f>
        <v>6795.6018678941209</v>
      </c>
      <c r="C62" s="3">
        <f>Merge60_CSY!AH63</f>
        <v>412.84607367988002</v>
      </c>
      <c r="D62" s="3">
        <f>Merge60_CSY!AI63</f>
        <v>404.69832784477757</v>
      </c>
      <c r="E62" s="3">
        <f>Merge60_CSY!AJ63</f>
        <v>8.1477458351024747</v>
      </c>
      <c r="F62" s="3">
        <f>Merge60_CSY!AK63</f>
        <v>6382.7557942142412</v>
      </c>
      <c r="G62" s="3">
        <f>Merge60_CSY!AL63</f>
        <v>2898.1346142156649</v>
      </c>
      <c r="H62" s="3">
        <f>Merge60_CSY!AM63</f>
        <v>3123.2759081089525</v>
      </c>
      <c r="I62" s="3">
        <f>Merge60_CSY!AN63</f>
        <v>-265.52189650696607</v>
      </c>
      <c r="J62" s="3">
        <f>Merge60_CSY!AO63</f>
        <v>95.823375382657716</v>
      </c>
      <c r="K62" s="5">
        <f>Merge60_CSY!AV63</f>
        <v>758.28</v>
      </c>
      <c r="L62" s="5">
        <f>Merge60_CSY!AW63</f>
        <v>288.90468000000004</v>
      </c>
      <c r="M62" s="5">
        <f>Merge60_CSY!AX63</f>
        <v>469.37531999999999</v>
      </c>
      <c r="N62" s="3">
        <f>Merge60_CSY!AS63</f>
        <v>16523.811942971788</v>
      </c>
      <c r="O62" s="3">
        <f>Merge60_CSY!AT63</f>
        <v>481.12107511791055</v>
      </c>
      <c r="P62" s="3">
        <f>Merge60_CSY!AU63</f>
        <v>16042.690867853878</v>
      </c>
      <c r="Q62" s="64">
        <f>Merge60_CSY!B63</f>
        <v>133450</v>
      </c>
      <c r="R62" s="6">
        <f>Merge60_CSY!AF63</f>
        <v>1.7816438969915556</v>
      </c>
      <c r="S62" s="81">
        <f>Wages!B61/Wages!C61</f>
        <v>0.43772989978661264</v>
      </c>
      <c r="T62" s="62">
        <f t="shared" si="9"/>
        <v>11268.63390334808</v>
      </c>
      <c r="AA62" s="24">
        <f t="shared" si="12"/>
        <v>2009</v>
      </c>
      <c r="AB62" s="3">
        <f t="shared" si="13"/>
        <v>7.7065061243339121</v>
      </c>
      <c r="AC62" s="3">
        <f t="shared" si="14"/>
        <v>4.7136886038261796</v>
      </c>
      <c r="AD62" s="3">
        <f t="shared" si="15"/>
        <v>1.156576341492592</v>
      </c>
      <c r="AE62" s="3">
        <f t="shared" si="16"/>
        <v>2.975603461860667</v>
      </c>
      <c r="AF62" s="3">
        <f t="shared" si="10"/>
        <v>2.2845138074586324</v>
      </c>
      <c r="AG62" s="62">
        <f t="shared" si="11"/>
        <v>7.8621829747732388</v>
      </c>
      <c r="AH62" s="3"/>
      <c r="AI62" s="61">
        <f t="shared" si="17"/>
        <v>0.78595244813595266</v>
      </c>
      <c r="AJ62" s="3">
        <f t="shared" si="18"/>
        <v>9.5188836429447736</v>
      </c>
      <c r="AK62" s="3">
        <f t="shared" si="19"/>
        <v>0.30325839478814354</v>
      </c>
      <c r="AL62" s="62">
        <f t="shared" si="20"/>
        <v>2.1717007225295353</v>
      </c>
    </row>
    <row r="63" spans="1:38">
      <c r="A63" s="75">
        <v>2010</v>
      </c>
      <c r="B63" s="3">
        <f>Merge60_CSY!AG64</f>
        <v>7505.5376593826122</v>
      </c>
      <c r="C63" s="3">
        <f>Merge60_CSY!AH64</f>
        <v>430.47993538689451</v>
      </c>
      <c r="D63" s="3">
        <f>Merge60_CSY!AI64</f>
        <v>422.78982993679773</v>
      </c>
      <c r="E63" s="3">
        <f>Merge60_CSY!AJ64</f>
        <v>7.6901054500967581</v>
      </c>
      <c r="F63" s="3">
        <f>Merge60_CSY!AK64</f>
        <v>7075.0577239957174</v>
      </c>
      <c r="G63" s="3">
        <f>Merge60_CSY!AL64</f>
        <v>3315.9007781298697</v>
      </c>
      <c r="H63" s="3">
        <f>Merge60_CSY!AM64</f>
        <v>3432.345905000835</v>
      </c>
      <c r="I63" s="3">
        <f>Merge60_CSY!AN64</f>
        <v>-227.34480625856716</v>
      </c>
      <c r="J63" s="3">
        <f>Merge60_CSY!AO64</f>
        <v>99.466234606445653</v>
      </c>
      <c r="K63" s="5">
        <f>Merge60_CSY!AV64</f>
        <v>761.05</v>
      </c>
      <c r="L63" s="5">
        <f>Merge60_CSY!AW64</f>
        <v>279.30534999999998</v>
      </c>
      <c r="M63" s="5">
        <f>Merge60_CSY!AX64</f>
        <v>481.74464999999998</v>
      </c>
      <c r="N63" s="3">
        <f>Merge60_CSY!AS64</f>
        <v>18820.897253932151</v>
      </c>
      <c r="O63" s="3">
        <f>Merge60_CSY!AT64</f>
        <v>552.94512826136895</v>
      </c>
      <c r="P63" s="3">
        <f>Merge60_CSY!AU64</f>
        <v>18267.952125670781</v>
      </c>
      <c r="Q63" s="64">
        <f>Merge60_CSY!B64</f>
        <v>134091</v>
      </c>
      <c r="R63" s="6">
        <f>Merge60_CSY!AF64</f>
        <v>1.8454831264779408</v>
      </c>
      <c r="S63" s="81">
        <f>Wages!B62/Wages!C62</f>
        <v>0.45021802369207448</v>
      </c>
      <c r="T63" s="62">
        <f t="shared" si="9"/>
        <v>12386.371445129273</v>
      </c>
      <c r="AA63" s="24">
        <f t="shared" si="12"/>
        <v>2010</v>
      </c>
      <c r="AB63" s="3">
        <f t="shared" si="13"/>
        <v>8.0284894091680314</v>
      </c>
      <c r="AC63" s="3">
        <f t="shared" si="14"/>
        <v>4.934591404094534</v>
      </c>
      <c r="AD63" s="3">
        <f t="shared" si="15"/>
        <v>1.1030375837662232</v>
      </c>
      <c r="AE63" s="3">
        <f t="shared" si="16"/>
        <v>2.9586090198201456</v>
      </c>
      <c r="AF63" s="3">
        <f t="shared" si="10"/>
        <v>2.2211460834005785</v>
      </c>
      <c r="AG63" s="62">
        <f t="shared" si="11"/>
        <v>7.2486146106922655</v>
      </c>
      <c r="AH63" s="3"/>
      <c r="AI63" s="61">
        <f t="shared" si="17"/>
        <v>0.84768861198968082</v>
      </c>
      <c r="AJ63" s="3">
        <f t="shared" si="18"/>
        <v>10.280426376913583</v>
      </c>
      <c r="AK63" s="3">
        <f t="shared" si="19"/>
        <v>0.31530067635918724</v>
      </c>
      <c r="AL63" s="62">
        <f t="shared" si="20"/>
        <v>2.4728734800470349</v>
      </c>
    </row>
    <row r="64" spans="1:38">
      <c r="A64" s="75">
        <v>2011</v>
      </c>
      <c r="B64" s="3">
        <f>Merge60_CSY!AG65</f>
        <v>8203.54404655096</v>
      </c>
      <c r="C64" s="3">
        <f>Merge60_CSY!AH65</f>
        <v>448.77726138362107</v>
      </c>
      <c r="D64" s="3">
        <f>Merge60_CSY!AI65</f>
        <v>442.80577995454831</v>
      </c>
      <c r="E64" s="3">
        <f>Merge60_CSY!AJ65</f>
        <v>5.9714814290727434</v>
      </c>
      <c r="F64" s="3">
        <f>Merge60_CSY!AK65</f>
        <v>7754.7667851673386</v>
      </c>
      <c r="G64" s="3">
        <f>Merge60_CSY!AL65</f>
        <v>3729.4373073647503</v>
      </c>
      <c r="H64" s="3">
        <f>Merge60_CSY!AM65</f>
        <v>3748.9285911439315</v>
      </c>
      <c r="I64" s="3">
        <f>Merge60_CSY!AN65</f>
        <v>-172.13079897730367</v>
      </c>
      <c r="J64" s="3">
        <f>Merge60_CSY!AO65</f>
        <v>104.2700876813532</v>
      </c>
      <c r="K64" s="5">
        <f>Merge60_CSY!AV65</f>
        <v>764.2</v>
      </c>
      <c r="L64" s="5">
        <f>Merge60_CSY!AW65</f>
        <v>265.94</v>
      </c>
      <c r="M64" s="5">
        <f>Merge60_CSY!AX65</f>
        <v>498.26</v>
      </c>
      <c r="N64" s="3">
        <f>Merge60_CSY!AS65</f>
        <v>21312.198296236376</v>
      </c>
      <c r="O64" s="3">
        <f>Merge60_CSY!AT65</f>
        <v>623.07795328719169</v>
      </c>
      <c r="P64" s="3">
        <f>Merge60_CSY!AU65</f>
        <v>20689.120342949183</v>
      </c>
      <c r="Q64" s="64">
        <f>Merge60_CSY!B65</f>
        <v>134735</v>
      </c>
      <c r="R64" s="6">
        <f>Merge60_CSY!AF65</f>
        <v>1.9279048252050723</v>
      </c>
      <c r="S64" s="81">
        <f>Wages!B63/Wages!C63</f>
        <v>0.45948712161110383</v>
      </c>
      <c r="T64" s="62">
        <f t="shared" si="9"/>
        <v>13473.580092860135</v>
      </c>
      <c r="AA64" s="24">
        <f t="shared" si="12"/>
        <v>2011</v>
      </c>
      <c r="AB64" s="3">
        <f t="shared" si="13"/>
        <v>8.455978979915578</v>
      </c>
      <c r="AC64" s="3">
        <f t="shared" si="14"/>
        <v>5.0889351573159693</v>
      </c>
      <c r="AD64" s="3">
        <f t="shared" si="15"/>
        <v>1.082134408437661</v>
      </c>
      <c r="AE64" s="3">
        <f t="shared" si="16"/>
        <v>2.7976194716872347</v>
      </c>
      <c r="AF64" s="3">
        <f t="shared" si="10"/>
        <v>2.1763395598416144</v>
      </c>
      <c r="AG64" s="62">
        <f t="shared" si="11"/>
        <v>6.5886510190164778</v>
      </c>
      <c r="AH64" s="3"/>
      <c r="AI64" s="61">
        <f t="shared" si="17"/>
        <v>0.92813226201771681</v>
      </c>
      <c r="AJ64" s="3">
        <f t="shared" si="18"/>
        <v>10.894586660813905</v>
      </c>
      <c r="AK64" s="3">
        <f t="shared" si="19"/>
        <v>0.32864940806364218</v>
      </c>
      <c r="AL64" s="62">
        <f t="shared" si="20"/>
        <v>2.7679795950308015</v>
      </c>
    </row>
    <row r="65" spans="1:38">
      <c r="A65" s="76">
        <v>2012</v>
      </c>
      <c r="B65" s="78">
        <f>Merge60_CSY!AG66</f>
        <v>8831.3148568396664</v>
      </c>
      <c r="C65" s="78">
        <f>Merge60_CSY!AH66</f>
        <v>469.19133103613422</v>
      </c>
      <c r="D65" s="78">
        <f>Merge60_CSY!AI66</f>
        <v>467.4788722494215</v>
      </c>
      <c r="E65" s="78">
        <f>Merge60_CSY!AJ66</f>
        <v>1.7124587867127288</v>
      </c>
      <c r="F65" s="78">
        <f>Merge60_CSY!AK66</f>
        <v>8362.1235258035322</v>
      </c>
      <c r="G65" s="78">
        <f>Merge60_CSY!AL66</f>
        <v>3924.2078862514063</v>
      </c>
      <c r="H65" s="78">
        <f>Merge60_CSY!AM66</f>
        <v>4072.9564653336947</v>
      </c>
      <c r="I65" s="78">
        <f>Merge60_CSY!AN66</f>
        <v>-257.49653652432795</v>
      </c>
      <c r="J65" s="78">
        <f>Merge60_CSY!AO66</f>
        <v>107.46263769410318</v>
      </c>
      <c r="K65" s="38">
        <f>Merge60_CSY!AV66</f>
        <v>767.04</v>
      </c>
      <c r="L65" s="38">
        <f>Merge60_CSY!AW66</f>
        <v>257.73</v>
      </c>
      <c r="M65" s="38">
        <f>Merge60_CSY!AX66</f>
        <v>509.31</v>
      </c>
      <c r="N65" s="78">
        <f>Merge60_CSY!AS66</f>
        <v>23995.51697256849</v>
      </c>
      <c r="O65" s="78">
        <f>Merge60_CSY!AT66</f>
        <v>697.33022950697045</v>
      </c>
      <c r="P65" s="78">
        <f>Merge60_CSY!AU66</f>
        <v>23298.18674306152</v>
      </c>
      <c r="Q65" s="67">
        <f>Merge60_CSY!B66</f>
        <v>135404</v>
      </c>
      <c r="R65" s="66">
        <f>Merge60_CSY!AF66</f>
        <v>2.0006164645545588</v>
      </c>
      <c r="S65" s="82">
        <f>AVERAGE(S61:S64)</f>
        <v>0.44355667599353338</v>
      </c>
      <c r="T65" s="62">
        <f t="shared" si="9"/>
        <v>14432.972871131004</v>
      </c>
      <c r="AA65" s="25">
        <f t="shared" si="12"/>
        <v>2012</v>
      </c>
      <c r="AB65" s="78">
        <f t="shared" si="13"/>
        <v>8.853762232115832</v>
      </c>
      <c r="AC65" s="78">
        <f t="shared" si="14"/>
        <v>5.2147368754129451</v>
      </c>
      <c r="AD65" s="78">
        <f t="shared" si="15"/>
        <v>1.1374385966935519</v>
      </c>
      <c r="AE65" s="78">
        <f t="shared" si="16"/>
        <v>2.5448957817800411</v>
      </c>
      <c r="AF65" s="78">
        <f t="shared" si="10"/>
        <v>2.2545033230760776</v>
      </c>
      <c r="AG65" s="79">
        <f t="shared" si="11"/>
        <v>6.5260266464830092</v>
      </c>
      <c r="AH65" s="3"/>
      <c r="AI65" s="97">
        <f t="shared" si="17"/>
        <v>1.0012619100216267</v>
      </c>
      <c r="AJ65" s="78">
        <f t="shared" si="18"/>
        <v>11.492973764627578</v>
      </c>
      <c r="AK65" s="78">
        <f t="shared" si="19"/>
        <v>0.34524746111593563</v>
      </c>
      <c r="AL65" s="79">
        <f t="shared" si="20"/>
        <v>2.8981476811995264</v>
      </c>
    </row>
    <row r="67" spans="1:38">
      <c r="N67" s="2"/>
      <c r="O67" s="2"/>
      <c r="P67" s="2"/>
    </row>
    <row r="68" spans="1:38">
      <c r="N68" s="2"/>
      <c r="O68" s="2"/>
      <c r="P68" s="2"/>
    </row>
  </sheetData>
  <mergeCells count="4">
    <mergeCell ref="X4:Y4"/>
    <mergeCell ref="N2:P2"/>
    <mergeCell ref="B2:J2"/>
    <mergeCell ref="K2:M2"/>
  </mergeCells>
  <pageMargins left="0.7" right="0.7" top="0.75" bottom="0.75" header="0.3" footer="0.3"/>
  <pageSetup scale="26" orientation="portrait" r:id="rId1"/>
  <colBreaks count="1" manualBreakCount="1">
    <brk id="20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Q63"/>
  <sheetViews>
    <sheetView view="pageBreakPreview" zoomScale="60" zoomScaleNormal="100" workbookViewId="0">
      <selection activeCell="Q19" sqref="Q19"/>
    </sheetView>
  </sheetViews>
  <sheetFormatPr defaultRowHeight="15"/>
  <cols>
    <col min="2" max="2" width="12" customWidth="1"/>
    <col min="3" max="3" width="12.7109375" customWidth="1"/>
    <col min="6" max="7" width="11.28515625" customWidth="1"/>
    <col min="10" max="10" width="8.7109375"/>
    <col min="11" max="11" width="9.85546875" customWidth="1"/>
    <col min="12" max="12" width="13.7109375" customWidth="1"/>
    <col min="13" max="13" width="11.42578125" customWidth="1"/>
    <col min="14" max="14" width="8.7109375"/>
    <col min="15" max="15" width="9.7109375" customWidth="1"/>
    <col min="16" max="16" width="11.28515625" customWidth="1"/>
    <col min="17" max="17" width="11.42578125" customWidth="1"/>
    <col min="18" max="18" width="8.7109375"/>
  </cols>
  <sheetData>
    <row r="1" spans="1:17">
      <c r="A1" t="s">
        <v>115</v>
      </c>
      <c r="B1" t="s">
        <v>186</v>
      </c>
      <c r="E1" t="s">
        <v>115</v>
      </c>
      <c r="F1" t="s">
        <v>185</v>
      </c>
      <c r="O1" t="s">
        <v>210</v>
      </c>
    </row>
    <row r="2" spans="1:17">
      <c r="A2" s="68"/>
      <c r="B2" s="122" t="s">
        <v>187</v>
      </c>
      <c r="C2" s="123"/>
      <c r="E2" s="68"/>
      <c r="F2" s="122" t="s">
        <v>183</v>
      </c>
      <c r="G2" s="123"/>
      <c r="J2" t="s">
        <v>208</v>
      </c>
    </row>
    <row r="3" spans="1:17" ht="34.5" customHeight="1">
      <c r="A3" s="25"/>
      <c r="B3" s="57" t="s">
        <v>64</v>
      </c>
      <c r="C3" s="56" t="s">
        <v>184</v>
      </c>
      <c r="E3" s="25"/>
      <c r="F3" s="101" t="s">
        <v>64</v>
      </c>
      <c r="G3" s="54" t="s">
        <v>65</v>
      </c>
      <c r="J3" s="10"/>
      <c r="K3" s="52" t="s">
        <v>7</v>
      </c>
      <c r="L3" s="52" t="s">
        <v>64</v>
      </c>
      <c r="M3" s="72" t="s">
        <v>184</v>
      </c>
      <c r="N3" s="85"/>
      <c r="O3" s="73" t="s">
        <v>211</v>
      </c>
      <c r="P3" s="52" t="s">
        <v>64</v>
      </c>
      <c r="Q3" s="72" t="s">
        <v>184</v>
      </c>
    </row>
    <row r="4" spans="1:17">
      <c r="A4" s="24">
        <v>1952</v>
      </c>
      <c r="B4" s="99">
        <f t="shared" ref="B4:B29" si="0">P4</f>
        <v>375</v>
      </c>
      <c r="C4" s="92">
        <f t="shared" ref="C4:C22" si="1">Q4</f>
        <v>447.09041254337495</v>
      </c>
      <c r="E4" s="68">
        <v>1952</v>
      </c>
      <c r="F4" s="32">
        <v>375</v>
      </c>
      <c r="G4" s="33">
        <v>515</v>
      </c>
      <c r="I4" t="s">
        <v>212</v>
      </c>
      <c r="J4" s="24">
        <f t="shared" ref="J4:J35" si="2">A4</f>
        <v>1952</v>
      </c>
      <c r="K4" s="91">
        <v>1580.1</v>
      </c>
      <c r="L4" s="91">
        <v>23.9</v>
      </c>
      <c r="M4" s="92">
        <f>K4-L4</f>
        <v>1556.1999999999998</v>
      </c>
      <c r="N4" s="91"/>
      <c r="O4" s="99">
        <v>446</v>
      </c>
      <c r="P4" s="91">
        <v>375</v>
      </c>
      <c r="Q4" s="92">
        <f>(O4*K4-P4*L4)/M4</f>
        <v>447.09041254337495</v>
      </c>
    </row>
    <row r="5" spans="1:17">
      <c r="A5" s="24">
        <v>1953</v>
      </c>
      <c r="B5" s="99">
        <f t="shared" si="0"/>
        <v>433</v>
      </c>
      <c r="C5" s="92">
        <f t="shared" si="1"/>
        <v>497.4835164835165</v>
      </c>
      <c r="E5" s="24">
        <v>1953</v>
      </c>
      <c r="F5" s="4">
        <v>433</v>
      </c>
      <c r="G5" s="18">
        <v>576</v>
      </c>
      <c r="J5" s="24">
        <f t="shared" si="2"/>
        <v>1953</v>
      </c>
      <c r="K5" s="91">
        <v>1825.6</v>
      </c>
      <c r="L5" s="91">
        <v>42</v>
      </c>
      <c r="M5" s="92">
        <f t="shared" ref="M5:M29" si="3">K5-L5</f>
        <v>1783.6</v>
      </c>
      <c r="N5" s="91"/>
      <c r="O5" s="99">
        <v>496</v>
      </c>
      <c r="P5" s="91">
        <v>433</v>
      </c>
      <c r="Q5" s="92">
        <f t="shared" ref="Q5:Q63" si="4">(O5*K5-P5*L5)/M5</f>
        <v>497.4835164835165</v>
      </c>
    </row>
    <row r="6" spans="1:17">
      <c r="A6" s="24">
        <v>1954</v>
      </c>
      <c r="B6" s="99">
        <f t="shared" si="0"/>
        <v>459</v>
      </c>
      <c r="C6" s="92">
        <f t="shared" si="1"/>
        <v>520.24016709162913</v>
      </c>
      <c r="E6" s="24">
        <v>1954</v>
      </c>
      <c r="F6" s="4">
        <v>459</v>
      </c>
      <c r="G6" s="18">
        <v>597</v>
      </c>
      <c r="J6" s="24">
        <f t="shared" si="2"/>
        <v>1954</v>
      </c>
      <c r="K6" s="91">
        <v>1881.4</v>
      </c>
      <c r="L6" s="91">
        <v>38.1</v>
      </c>
      <c r="M6" s="92">
        <f t="shared" si="3"/>
        <v>1843.3000000000002</v>
      </c>
      <c r="N6" s="91"/>
      <c r="O6" s="99">
        <v>519</v>
      </c>
      <c r="P6" s="91">
        <v>459</v>
      </c>
      <c r="Q6" s="92">
        <f t="shared" si="4"/>
        <v>520.24016709162913</v>
      </c>
    </row>
    <row r="7" spans="1:17">
      <c r="A7" s="24">
        <v>1955</v>
      </c>
      <c r="B7" s="99">
        <f t="shared" si="0"/>
        <v>461</v>
      </c>
      <c r="C7" s="92">
        <f t="shared" si="1"/>
        <v>536.03072941937569</v>
      </c>
      <c r="E7" s="24">
        <v>1955</v>
      </c>
      <c r="F7" s="4">
        <v>461</v>
      </c>
      <c r="G7" s="18">
        <v>600</v>
      </c>
      <c r="J7" s="24">
        <f t="shared" si="2"/>
        <v>1955</v>
      </c>
      <c r="K7" s="91">
        <v>1906.5</v>
      </c>
      <c r="L7" s="91">
        <v>51.6</v>
      </c>
      <c r="M7" s="92">
        <f t="shared" si="3"/>
        <v>1854.9</v>
      </c>
      <c r="N7" s="91"/>
      <c r="O7" s="99">
        <v>534</v>
      </c>
      <c r="P7" s="91">
        <v>461</v>
      </c>
      <c r="Q7" s="92">
        <f t="shared" si="4"/>
        <v>536.03072941937569</v>
      </c>
    </row>
    <row r="8" spans="1:17">
      <c r="A8" s="24">
        <v>1956</v>
      </c>
      <c r="B8" s="99">
        <f t="shared" si="0"/>
        <v>498</v>
      </c>
      <c r="C8" s="92">
        <f t="shared" si="1"/>
        <v>614.01612973160468</v>
      </c>
      <c r="E8" s="24">
        <v>1956</v>
      </c>
      <c r="F8" s="4">
        <v>498</v>
      </c>
      <c r="G8" s="18">
        <v>674</v>
      </c>
      <c r="J8" s="24">
        <f t="shared" si="2"/>
        <v>1956</v>
      </c>
      <c r="K8" s="91">
        <v>2389.0000000000005</v>
      </c>
      <c r="L8" s="91">
        <v>82.7</v>
      </c>
      <c r="M8" s="92">
        <f t="shared" si="3"/>
        <v>2306.3000000000006</v>
      </c>
      <c r="N8" s="91"/>
      <c r="O8" s="99">
        <v>610</v>
      </c>
      <c r="P8" s="91">
        <v>498</v>
      </c>
      <c r="Q8" s="92">
        <f t="shared" si="4"/>
        <v>614.01612973160468</v>
      </c>
    </row>
    <row r="9" spans="1:17">
      <c r="A9" s="24">
        <v>1957</v>
      </c>
      <c r="B9" s="99">
        <f t="shared" si="0"/>
        <v>501</v>
      </c>
      <c r="C9" s="92">
        <f t="shared" si="1"/>
        <v>643.5301864203866</v>
      </c>
      <c r="E9" s="24">
        <v>1957</v>
      </c>
      <c r="F9" s="4">
        <v>501</v>
      </c>
      <c r="G9" s="18">
        <v>690</v>
      </c>
      <c r="J9" s="24">
        <f t="shared" si="2"/>
        <v>1957</v>
      </c>
      <c r="K9" s="91">
        <v>2451.1</v>
      </c>
      <c r="L9" s="91">
        <v>112.3</v>
      </c>
      <c r="M9" s="92">
        <f t="shared" si="3"/>
        <v>2338.7999999999997</v>
      </c>
      <c r="N9" s="91"/>
      <c r="O9" s="99">
        <v>637</v>
      </c>
      <c r="P9" s="91">
        <v>501</v>
      </c>
      <c r="Q9" s="92">
        <f t="shared" si="4"/>
        <v>643.5301864203866</v>
      </c>
    </row>
    <row r="10" spans="1:17">
      <c r="A10" s="24">
        <v>1958</v>
      </c>
      <c r="B10" s="99">
        <f t="shared" si="0"/>
        <v>471</v>
      </c>
      <c r="C10" s="92">
        <f t="shared" si="1"/>
        <v>553.53231308195814</v>
      </c>
      <c r="E10" s="24">
        <v>1958</v>
      </c>
      <c r="F10" s="4">
        <v>471</v>
      </c>
      <c r="G10" s="18">
        <v>526</v>
      </c>
      <c r="J10" s="24">
        <f t="shared" si="2"/>
        <v>1958</v>
      </c>
      <c r="K10" s="91">
        <v>4532.8</v>
      </c>
      <c r="L10" s="91">
        <v>194</v>
      </c>
      <c r="M10" s="92">
        <f t="shared" si="3"/>
        <v>4338.8</v>
      </c>
      <c r="N10" s="91"/>
      <c r="O10" s="99">
        <v>550</v>
      </c>
      <c r="P10" s="91">
        <v>471</v>
      </c>
      <c r="Q10" s="92">
        <f t="shared" si="4"/>
        <v>553.53231308195814</v>
      </c>
    </row>
    <row r="11" spans="1:17">
      <c r="A11" s="24">
        <v>1959</v>
      </c>
      <c r="B11" s="99">
        <f t="shared" si="0"/>
        <v>411</v>
      </c>
      <c r="C11" s="92">
        <f t="shared" si="1"/>
        <v>531.65926810423548</v>
      </c>
      <c r="E11" s="24">
        <v>1959</v>
      </c>
      <c r="F11" s="4">
        <v>411</v>
      </c>
      <c r="G11" s="18">
        <v>514</v>
      </c>
      <c r="J11" s="24">
        <f t="shared" si="2"/>
        <v>1959</v>
      </c>
      <c r="K11" s="91">
        <v>4560.5999999999995</v>
      </c>
      <c r="L11" s="91">
        <v>289.5</v>
      </c>
      <c r="M11" s="92">
        <f t="shared" si="3"/>
        <v>4271.0999999999995</v>
      </c>
      <c r="N11" s="91"/>
      <c r="O11" s="99">
        <v>524</v>
      </c>
      <c r="P11" s="91">
        <v>411</v>
      </c>
      <c r="Q11" s="92">
        <f t="shared" si="4"/>
        <v>531.65926810423548</v>
      </c>
    </row>
    <row r="12" spans="1:17">
      <c r="A12" s="24">
        <v>1960</v>
      </c>
      <c r="B12" s="99">
        <f t="shared" si="0"/>
        <v>365</v>
      </c>
      <c r="C12" s="92">
        <f t="shared" si="1"/>
        <v>542.93428713664207</v>
      </c>
      <c r="E12" s="24">
        <v>1960</v>
      </c>
      <c r="F12" s="4">
        <v>365</v>
      </c>
      <c r="G12" s="18">
        <v>538</v>
      </c>
      <c r="J12" s="24">
        <f t="shared" si="2"/>
        <v>1960</v>
      </c>
      <c r="K12" s="91">
        <v>5043.4000000000005</v>
      </c>
      <c r="L12" s="91">
        <v>423.3</v>
      </c>
      <c r="M12" s="92">
        <f t="shared" si="3"/>
        <v>4620.1000000000004</v>
      </c>
      <c r="N12" s="91"/>
      <c r="O12" s="99">
        <v>528</v>
      </c>
      <c r="P12" s="91">
        <v>365</v>
      </c>
      <c r="Q12" s="92">
        <f t="shared" si="4"/>
        <v>542.93428713664207</v>
      </c>
    </row>
    <row r="13" spans="1:17">
      <c r="A13" s="24">
        <v>1961</v>
      </c>
      <c r="B13" s="99">
        <f t="shared" si="0"/>
        <v>362</v>
      </c>
      <c r="C13" s="92">
        <f t="shared" si="1"/>
        <v>556.6944437034864</v>
      </c>
      <c r="E13" s="24">
        <v>1961</v>
      </c>
      <c r="F13" s="4">
        <v>362</v>
      </c>
      <c r="G13" s="18">
        <v>560</v>
      </c>
      <c r="J13" s="24">
        <f t="shared" si="2"/>
        <v>1961</v>
      </c>
      <c r="K13" s="91">
        <v>4170.7999999999993</v>
      </c>
      <c r="L13" s="91">
        <v>421.9</v>
      </c>
      <c r="M13" s="92">
        <f t="shared" si="3"/>
        <v>3748.8999999999992</v>
      </c>
      <c r="N13" s="91"/>
      <c r="O13" s="99">
        <v>537</v>
      </c>
      <c r="P13" s="91">
        <v>362</v>
      </c>
      <c r="Q13" s="92">
        <f t="shared" si="4"/>
        <v>556.6944437034864</v>
      </c>
    </row>
    <row r="14" spans="1:17">
      <c r="A14" s="24">
        <v>1962</v>
      </c>
      <c r="B14" s="99">
        <f t="shared" si="0"/>
        <v>392</v>
      </c>
      <c r="C14" s="92">
        <f t="shared" si="1"/>
        <v>616.29748144130713</v>
      </c>
      <c r="E14" s="24">
        <v>1962</v>
      </c>
      <c r="F14" s="4">
        <v>392</v>
      </c>
      <c r="G14" s="18">
        <v>652</v>
      </c>
      <c r="J14" s="24">
        <f t="shared" si="2"/>
        <v>1962</v>
      </c>
      <c r="K14" s="91">
        <v>3308.5</v>
      </c>
      <c r="L14" s="91">
        <v>358.4</v>
      </c>
      <c r="M14" s="92">
        <f t="shared" si="3"/>
        <v>2950.1</v>
      </c>
      <c r="N14" s="91"/>
      <c r="O14" s="99">
        <v>592</v>
      </c>
      <c r="P14" s="91">
        <v>392</v>
      </c>
      <c r="Q14" s="92">
        <f t="shared" si="4"/>
        <v>616.29748144130713</v>
      </c>
    </row>
    <row r="15" spans="1:17">
      <c r="A15" s="24">
        <v>1963</v>
      </c>
      <c r="B15" s="99">
        <f t="shared" si="0"/>
        <v>421</v>
      </c>
      <c r="C15" s="92">
        <f t="shared" si="1"/>
        <v>669.07340705995136</v>
      </c>
      <c r="E15" s="24">
        <v>1963</v>
      </c>
      <c r="F15" s="4">
        <v>421</v>
      </c>
      <c r="G15" s="18">
        <v>720</v>
      </c>
      <c r="J15" s="24">
        <f t="shared" si="2"/>
        <v>1963</v>
      </c>
      <c r="K15" s="91">
        <v>3293.3999999999996</v>
      </c>
      <c r="L15" s="91">
        <v>372.7</v>
      </c>
      <c r="M15" s="92">
        <f t="shared" si="3"/>
        <v>2920.7</v>
      </c>
      <c r="N15" s="91"/>
      <c r="O15" s="99">
        <v>641</v>
      </c>
      <c r="P15" s="91">
        <v>421</v>
      </c>
      <c r="Q15" s="92">
        <f t="shared" si="4"/>
        <v>669.07340705995136</v>
      </c>
    </row>
    <row r="16" spans="1:17">
      <c r="A16" s="24">
        <v>1964</v>
      </c>
      <c r="B16" s="99">
        <f t="shared" si="0"/>
        <v>433</v>
      </c>
      <c r="C16" s="92">
        <f t="shared" si="1"/>
        <v>689.72785180370488</v>
      </c>
      <c r="E16" s="24">
        <v>1964</v>
      </c>
      <c r="F16" s="4">
        <v>433</v>
      </c>
      <c r="G16" s="18">
        <v>741</v>
      </c>
      <c r="J16" s="24">
        <f t="shared" si="2"/>
        <v>1964</v>
      </c>
      <c r="K16" s="91">
        <v>3464.7000000000003</v>
      </c>
      <c r="L16" s="91">
        <v>387.7</v>
      </c>
      <c r="M16" s="92">
        <f t="shared" si="3"/>
        <v>3077.0000000000005</v>
      </c>
      <c r="N16" s="91"/>
      <c r="O16" s="99">
        <v>661</v>
      </c>
      <c r="P16" s="91">
        <v>433</v>
      </c>
      <c r="Q16" s="92">
        <f t="shared" si="4"/>
        <v>689.72785180370488</v>
      </c>
    </row>
    <row r="17" spans="1:17">
      <c r="A17" s="24">
        <v>1965</v>
      </c>
      <c r="B17" s="99">
        <f t="shared" si="0"/>
        <v>433</v>
      </c>
      <c r="C17" s="92">
        <f t="shared" si="1"/>
        <v>679.87032569360679</v>
      </c>
      <c r="E17" s="24">
        <v>1965</v>
      </c>
      <c r="F17" s="4">
        <v>433</v>
      </c>
      <c r="G17" s="18">
        <v>729</v>
      </c>
      <c r="J17" s="24">
        <f t="shared" si="2"/>
        <v>1965</v>
      </c>
      <c r="K17" s="91">
        <v>3738</v>
      </c>
      <c r="L17" s="91">
        <v>422</v>
      </c>
      <c r="M17" s="92">
        <f t="shared" si="3"/>
        <v>3316</v>
      </c>
      <c r="N17" s="91"/>
      <c r="O17" s="99">
        <v>652</v>
      </c>
      <c r="P17" s="91">
        <v>433</v>
      </c>
      <c r="Q17" s="92">
        <f t="shared" si="4"/>
        <v>679.87032569360679</v>
      </c>
    </row>
    <row r="18" spans="1:17">
      <c r="A18" s="24">
        <v>1966</v>
      </c>
      <c r="B18" s="99">
        <f t="shared" si="0"/>
        <v>428</v>
      </c>
      <c r="C18" s="92">
        <f t="shared" si="1"/>
        <v>663.94925028835064</v>
      </c>
      <c r="E18" s="24">
        <v>1966</v>
      </c>
      <c r="F18" s="4">
        <v>428</v>
      </c>
      <c r="G18" s="18">
        <v>689</v>
      </c>
      <c r="J18" s="24">
        <f t="shared" si="2"/>
        <v>1966</v>
      </c>
      <c r="K18" s="91">
        <v>3934</v>
      </c>
      <c r="L18" s="91">
        <v>466</v>
      </c>
      <c r="M18" s="92">
        <f t="shared" si="3"/>
        <v>3468</v>
      </c>
      <c r="N18" s="91"/>
      <c r="O18" s="99">
        <v>636</v>
      </c>
      <c r="P18" s="91">
        <v>428</v>
      </c>
      <c r="Q18" s="92">
        <f t="shared" si="4"/>
        <v>663.94925028835064</v>
      </c>
    </row>
    <row r="19" spans="1:17">
      <c r="A19" s="24">
        <v>1967</v>
      </c>
      <c r="B19" s="99">
        <f t="shared" si="0"/>
        <v>426</v>
      </c>
      <c r="C19" s="92">
        <f t="shared" si="1"/>
        <v>657.57381694531034</v>
      </c>
      <c r="E19" s="24">
        <v>1967</v>
      </c>
      <c r="F19" s="4">
        <v>426</v>
      </c>
      <c r="G19" s="18">
        <v>701</v>
      </c>
      <c r="J19" s="24">
        <f t="shared" si="2"/>
        <v>1967</v>
      </c>
      <c r="K19" s="91">
        <v>4006</v>
      </c>
      <c r="L19" s="91">
        <v>477</v>
      </c>
      <c r="M19" s="92">
        <f t="shared" si="3"/>
        <v>3529</v>
      </c>
      <c r="N19" s="91"/>
      <c r="O19" s="99">
        <v>630</v>
      </c>
      <c r="P19" s="91">
        <v>426</v>
      </c>
      <c r="Q19" s="92">
        <f t="shared" si="4"/>
        <v>657.57381694531034</v>
      </c>
    </row>
    <row r="20" spans="1:17">
      <c r="A20" s="24">
        <v>1968</v>
      </c>
      <c r="B20" s="99">
        <f t="shared" si="0"/>
        <v>419</v>
      </c>
      <c r="C20" s="92">
        <f t="shared" si="1"/>
        <v>649.84132639079201</v>
      </c>
      <c r="E20" s="24">
        <v>1968</v>
      </c>
      <c r="F20" s="4">
        <v>419</v>
      </c>
      <c r="G20" s="18">
        <v>689</v>
      </c>
      <c r="J20" s="24">
        <f t="shared" si="2"/>
        <v>1968</v>
      </c>
      <c r="K20" s="91">
        <v>4170</v>
      </c>
      <c r="L20" s="91">
        <v>521</v>
      </c>
      <c r="M20" s="92">
        <f t="shared" si="3"/>
        <v>3649</v>
      </c>
      <c r="N20" s="91"/>
      <c r="O20" s="99">
        <v>621</v>
      </c>
      <c r="P20" s="91">
        <v>419</v>
      </c>
      <c r="Q20" s="92">
        <f t="shared" si="4"/>
        <v>649.84132639079201</v>
      </c>
    </row>
    <row r="21" spans="1:17">
      <c r="A21" s="24">
        <v>1969</v>
      </c>
      <c r="B21" s="99">
        <f t="shared" si="0"/>
        <v>418</v>
      </c>
      <c r="C21" s="92">
        <f t="shared" si="1"/>
        <v>645.91798107255522</v>
      </c>
      <c r="E21" s="24">
        <v>1969</v>
      </c>
      <c r="F21" s="4">
        <v>418</v>
      </c>
      <c r="G21" s="18">
        <v>683</v>
      </c>
      <c r="J21" s="24">
        <f t="shared" si="2"/>
        <v>1969</v>
      </c>
      <c r="K21" s="91">
        <v>4335</v>
      </c>
      <c r="L21" s="91">
        <v>531</v>
      </c>
      <c r="M21" s="92">
        <f t="shared" si="3"/>
        <v>3804</v>
      </c>
      <c r="N21" s="91"/>
      <c r="O21" s="99">
        <v>618</v>
      </c>
      <c r="P21" s="91">
        <v>418</v>
      </c>
      <c r="Q21" s="92">
        <f t="shared" si="4"/>
        <v>645.91798107255522</v>
      </c>
    </row>
    <row r="22" spans="1:17">
      <c r="A22" s="24">
        <v>1970</v>
      </c>
      <c r="B22" s="99">
        <f t="shared" si="0"/>
        <v>419</v>
      </c>
      <c r="C22" s="92">
        <f t="shared" si="1"/>
        <v>634.44723142451494</v>
      </c>
      <c r="E22" s="24">
        <v>1970</v>
      </c>
      <c r="F22" s="4">
        <v>419</v>
      </c>
      <c r="G22" s="18">
        <v>661</v>
      </c>
      <c r="J22" s="24">
        <f t="shared" si="2"/>
        <v>1970</v>
      </c>
      <c r="K22" s="91">
        <v>4792</v>
      </c>
      <c r="L22" s="91">
        <v>566</v>
      </c>
      <c r="M22" s="92">
        <f t="shared" si="3"/>
        <v>4226</v>
      </c>
      <c r="N22" s="91"/>
      <c r="O22" s="99">
        <v>609</v>
      </c>
      <c r="P22" s="91">
        <v>419</v>
      </c>
      <c r="Q22" s="92">
        <f t="shared" si="4"/>
        <v>634.44723142451494</v>
      </c>
    </row>
    <row r="23" spans="1:17">
      <c r="A23" s="24">
        <v>1971</v>
      </c>
      <c r="B23" s="99">
        <f t="shared" si="0"/>
        <v>426</v>
      </c>
      <c r="C23" s="92">
        <f t="shared" ref="C23:C34" si="5">Q23</f>
        <v>619.04788893841942</v>
      </c>
      <c r="E23" s="24">
        <v>1971</v>
      </c>
      <c r="F23" s="4">
        <v>426</v>
      </c>
      <c r="G23" s="18">
        <v>635</v>
      </c>
      <c r="J23" s="24">
        <f t="shared" si="2"/>
        <v>1971</v>
      </c>
      <c r="K23" s="91">
        <v>5318.2999999999993</v>
      </c>
      <c r="L23" s="91">
        <v>607.4</v>
      </c>
      <c r="M23" s="92">
        <f t="shared" si="3"/>
        <v>4710.8999999999996</v>
      </c>
      <c r="N23" s="91"/>
      <c r="O23" s="99">
        <v>597</v>
      </c>
      <c r="P23" s="91">
        <v>426</v>
      </c>
      <c r="Q23" s="92">
        <f t="shared" si="4"/>
        <v>619.04788893841942</v>
      </c>
    </row>
    <row r="24" spans="1:17">
      <c r="A24" s="24">
        <v>1972</v>
      </c>
      <c r="B24" s="99">
        <f t="shared" si="0"/>
        <v>423</v>
      </c>
      <c r="C24" s="92">
        <f t="shared" si="5"/>
        <v>646.86003609384397</v>
      </c>
      <c r="E24" s="24">
        <v>1972</v>
      </c>
      <c r="F24" s="4">
        <v>423</v>
      </c>
      <c r="G24" s="18">
        <v>650</v>
      </c>
      <c r="J24" s="24">
        <f t="shared" si="2"/>
        <v>1972</v>
      </c>
      <c r="K24" s="91">
        <v>5610</v>
      </c>
      <c r="L24" s="91">
        <v>623</v>
      </c>
      <c r="M24" s="92">
        <f t="shared" si="3"/>
        <v>4987</v>
      </c>
      <c r="N24" s="91"/>
      <c r="O24" s="99">
        <v>622</v>
      </c>
      <c r="P24" s="91">
        <v>423</v>
      </c>
      <c r="Q24" s="92">
        <f t="shared" si="4"/>
        <v>646.86003609384397</v>
      </c>
    </row>
    <row r="25" spans="1:17">
      <c r="A25" s="24">
        <v>1973</v>
      </c>
      <c r="B25" s="99">
        <f t="shared" si="0"/>
        <v>436</v>
      </c>
      <c r="C25" s="92">
        <f t="shared" si="5"/>
        <v>636.68261831567816</v>
      </c>
      <c r="E25" s="24">
        <v>1973</v>
      </c>
      <c r="F25" s="4">
        <v>436</v>
      </c>
      <c r="G25" s="18">
        <v>640</v>
      </c>
      <c r="J25" s="24">
        <f t="shared" si="2"/>
        <v>1973</v>
      </c>
      <c r="K25" s="91">
        <v>5757.9</v>
      </c>
      <c r="L25" s="91">
        <v>650.79999999999995</v>
      </c>
      <c r="M25" s="92">
        <f t="shared" si="3"/>
        <v>5107.0999999999995</v>
      </c>
      <c r="N25" s="91"/>
      <c r="O25" s="99">
        <v>614</v>
      </c>
      <c r="P25" s="91">
        <v>436</v>
      </c>
      <c r="Q25" s="92">
        <f t="shared" si="4"/>
        <v>636.68261831567816</v>
      </c>
    </row>
    <row r="26" spans="1:17">
      <c r="A26" s="24">
        <v>1974</v>
      </c>
      <c r="B26" s="99">
        <f t="shared" si="0"/>
        <v>483</v>
      </c>
      <c r="C26" s="92">
        <f t="shared" si="5"/>
        <v>639.7360753909403</v>
      </c>
      <c r="E26" s="24">
        <v>1974</v>
      </c>
      <c r="F26" s="4">
        <v>483</v>
      </c>
      <c r="G26" s="18">
        <v>648</v>
      </c>
      <c r="J26" s="24">
        <f t="shared" si="2"/>
        <v>1974</v>
      </c>
      <c r="K26" s="91">
        <v>6006.6</v>
      </c>
      <c r="L26" s="91">
        <v>679.7</v>
      </c>
      <c r="M26" s="92">
        <f t="shared" si="3"/>
        <v>5326.9000000000005</v>
      </c>
      <c r="N26" s="91"/>
      <c r="O26" s="99">
        <v>622</v>
      </c>
      <c r="P26" s="91">
        <v>483</v>
      </c>
      <c r="Q26" s="92">
        <f t="shared" si="4"/>
        <v>639.7360753909403</v>
      </c>
    </row>
    <row r="27" spans="1:17">
      <c r="A27" s="24">
        <v>1975</v>
      </c>
      <c r="B27" s="99">
        <f t="shared" si="0"/>
        <v>460</v>
      </c>
      <c r="C27" s="92">
        <f t="shared" si="5"/>
        <v>632.40638316527838</v>
      </c>
      <c r="E27" s="24">
        <v>1975</v>
      </c>
      <c r="F27" s="4">
        <v>460</v>
      </c>
      <c r="G27" s="18">
        <v>644</v>
      </c>
      <c r="J27" s="24">
        <f t="shared" si="2"/>
        <v>1975</v>
      </c>
      <c r="K27" s="91">
        <v>6425.8000000000011</v>
      </c>
      <c r="L27" s="91">
        <v>723.3</v>
      </c>
      <c r="M27" s="92">
        <f t="shared" si="3"/>
        <v>5702.5000000000009</v>
      </c>
      <c r="N27" s="91"/>
      <c r="O27" s="99">
        <v>613</v>
      </c>
      <c r="P27" s="91">
        <v>460</v>
      </c>
      <c r="Q27" s="92">
        <f t="shared" si="4"/>
        <v>632.40638316527838</v>
      </c>
    </row>
    <row r="28" spans="1:17">
      <c r="A28" s="24">
        <v>1976</v>
      </c>
      <c r="B28" s="99">
        <f t="shared" si="0"/>
        <v>459</v>
      </c>
      <c r="C28" s="92">
        <f t="shared" si="5"/>
        <v>623.58648568705428</v>
      </c>
      <c r="E28" s="24">
        <v>1976</v>
      </c>
      <c r="F28" s="4">
        <v>459</v>
      </c>
      <c r="G28" s="18">
        <v>634</v>
      </c>
      <c r="J28" s="24">
        <f t="shared" si="2"/>
        <v>1976</v>
      </c>
      <c r="K28" s="91">
        <v>6860.1</v>
      </c>
      <c r="L28" s="91">
        <v>774.7</v>
      </c>
      <c r="M28" s="92">
        <f t="shared" si="3"/>
        <v>6085.4000000000005</v>
      </c>
      <c r="N28" s="91"/>
      <c r="O28" s="99">
        <v>605</v>
      </c>
      <c r="P28" s="91">
        <v>459</v>
      </c>
      <c r="Q28" s="92">
        <f t="shared" si="4"/>
        <v>623.58648568705428</v>
      </c>
    </row>
    <row r="29" spans="1:17">
      <c r="A29" s="24">
        <v>1977</v>
      </c>
      <c r="B29" s="99">
        <f t="shared" si="0"/>
        <v>459</v>
      </c>
      <c r="C29" s="92">
        <f t="shared" si="5"/>
        <v>620.4375019609073</v>
      </c>
      <c r="E29" s="24">
        <v>1977</v>
      </c>
      <c r="F29" s="4">
        <v>459</v>
      </c>
      <c r="G29" s="18">
        <v>632</v>
      </c>
      <c r="J29" s="24">
        <f t="shared" si="2"/>
        <v>1977</v>
      </c>
      <c r="K29" s="91">
        <v>7196.4999999999991</v>
      </c>
      <c r="L29" s="91">
        <v>821.9</v>
      </c>
      <c r="M29" s="92">
        <f t="shared" si="3"/>
        <v>6374.5999999999995</v>
      </c>
      <c r="N29" s="91"/>
      <c r="O29" s="99">
        <v>602</v>
      </c>
      <c r="P29" s="91">
        <v>459</v>
      </c>
      <c r="Q29" s="92">
        <f t="shared" si="4"/>
        <v>620.4375019609073</v>
      </c>
    </row>
    <row r="30" spans="1:17">
      <c r="A30" s="24">
        <v>1978</v>
      </c>
      <c r="B30" s="99">
        <f>P30</f>
        <v>470</v>
      </c>
      <c r="C30" s="92">
        <f t="shared" si="5"/>
        <v>628.88280078440425</v>
      </c>
      <c r="E30" s="24">
        <v>1978</v>
      </c>
      <c r="F30" s="4">
        <v>492</v>
      </c>
      <c r="G30" s="18">
        <v>683</v>
      </c>
      <c r="I30" t="s">
        <v>209</v>
      </c>
      <c r="J30" s="24">
        <f t="shared" si="2"/>
        <v>1978</v>
      </c>
      <c r="K30" s="91">
        <v>9499</v>
      </c>
      <c r="L30" s="91">
        <v>830</v>
      </c>
      <c r="M30" s="92">
        <f>K30-L30</f>
        <v>8669</v>
      </c>
      <c r="N30" s="91"/>
      <c r="O30" s="99">
        <v>615</v>
      </c>
      <c r="P30" s="91">
        <v>470</v>
      </c>
      <c r="Q30" s="92">
        <f t="shared" si="4"/>
        <v>628.88280078440425</v>
      </c>
    </row>
    <row r="31" spans="1:17">
      <c r="A31" s="24">
        <v>1979</v>
      </c>
      <c r="B31" s="99">
        <f t="shared" ref="B31:B63" si="6">P31</f>
        <v>528</v>
      </c>
      <c r="C31" s="92">
        <f t="shared" si="5"/>
        <v>680.20113438045371</v>
      </c>
      <c r="E31" s="24">
        <v>1979</v>
      </c>
      <c r="F31" s="4">
        <v>548</v>
      </c>
      <c r="G31" s="18">
        <v>758</v>
      </c>
      <c r="J31" s="24">
        <f t="shared" si="2"/>
        <v>1979</v>
      </c>
      <c r="K31" s="91">
        <v>9967</v>
      </c>
      <c r="L31" s="91">
        <v>799</v>
      </c>
      <c r="M31" s="92">
        <f t="shared" ref="M31:M63" si="7">K31-L31</f>
        <v>9168</v>
      </c>
      <c r="N31" s="91"/>
      <c r="O31" s="99">
        <v>668</v>
      </c>
      <c r="P31" s="91">
        <v>528</v>
      </c>
      <c r="Q31" s="92">
        <f t="shared" si="4"/>
        <v>680.20113438045371</v>
      </c>
    </row>
    <row r="32" spans="1:17">
      <c r="A32" s="24">
        <v>1980</v>
      </c>
      <c r="B32" s="99">
        <f t="shared" si="6"/>
        <v>616</v>
      </c>
      <c r="C32" s="92">
        <f t="shared" si="5"/>
        <v>773.91466445733226</v>
      </c>
      <c r="E32" s="24">
        <v>1980</v>
      </c>
      <c r="F32" s="4">
        <v>636</v>
      </c>
      <c r="G32" s="18">
        <v>854</v>
      </c>
      <c r="J32" s="24">
        <f t="shared" si="2"/>
        <v>1980</v>
      </c>
      <c r="K32" s="91">
        <v>10444</v>
      </c>
      <c r="L32" s="91">
        <v>788</v>
      </c>
      <c r="M32" s="92">
        <f t="shared" si="7"/>
        <v>9656</v>
      </c>
      <c r="N32" s="91"/>
      <c r="O32" s="99">
        <v>762</v>
      </c>
      <c r="P32" s="91">
        <v>616</v>
      </c>
      <c r="Q32" s="92">
        <f t="shared" si="4"/>
        <v>773.91466445733226</v>
      </c>
    </row>
    <row r="33" spans="1:17">
      <c r="A33" s="24">
        <v>1981</v>
      </c>
      <c r="B33" s="99">
        <f t="shared" si="6"/>
        <v>637</v>
      </c>
      <c r="C33" s="92">
        <f t="shared" si="5"/>
        <v>782.60780834072762</v>
      </c>
      <c r="E33" s="25">
        <v>1981</v>
      </c>
      <c r="F33" s="20">
        <v>654</v>
      </c>
      <c r="G33" s="21">
        <v>852</v>
      </c>
      <c r="J33" s="24">
        <f t="shared" si="2"/>
        <v>1981</v>
      </c>
      <c r="K33" s="91">
        <v>10940</v>
      </c>
      <c r="L33" s="91">
        <v>797</v>
      </c>
      <c r="M33" s="92">
        <f t="shared" si="7"/>
        <v>10143</v>
      </c>
      <c r="N33" s="91"/>
      <c r="O33" s="99">
        <v>772</v>
      </c>
      <c r="P33" s="91">
        <v>637</v>
      </c>
      <c r="Q33" s="92">
        <f t="shared" si="4"/>
        <v>782.60780834072762</v>
      </c>
    </row>
    <row r="34" spans="1:17">
      <c r="A34" s="24">
        <v>1982</v>
      </c>
      <c r="B34" s="99">
        <f t="shared" si="6"/>
        <v>661</v>
      </c>
      <c r="C34" s="92">
        <f t="shared" si="5"/>
        <v>808.41482258679889</v>
      </c>
      <c r="J34" s="24">
        <f t="shared" si="2"/>
        <v>1982</v>
      </c>
      <c r="K34" s="91">
        <v>11281</v>
      </c>
      <c r="L34" s="91">
        <v>797</v>
      </c>
      <c r="M34" s="92">
        <f t="shared" si="7"/>
        <v>10484</v>
      </c>
      <c r="N34" s="91"/>
      <c r="O34" s="99">
        <v>798</v>
      </c>
      <c r="P34" s="91">
        <v>661</v>
      </c>
      <c r="Q34" s="92">
        <f t="shared" si="4"/>
        <v>808.41482258679889</v>
      </c>
    </row>
    <row r="35" spans="1:17">
      <c r="A35" s="24">
        <v>1983</v>
      </c>
      <c r="B35" s="99">
        <f t="shared" si="6"/>
        <v>691</v>
      </c>
      <c r="C35" s="92">
        <f t="shared" ref="C35:C63" si="8">Q35</f>
        <v>836.09286914317715</v>
      </c>
      <c r="J35" s="24">
        <f t="shared" si="2"/>
        <v>1983</v>
      </c>
      <c r="K35" s="91">
        <v>11515</v>
      </c>
      <c r="L35" s="91">
        <v>801</v>
      </c>
      <c r="M35" s="92">
        <f t="shared" si="7"/>
        <v>10714</v>
      </c>
      <c r="N35" s="91"/>
      <c r="O35" s="99">
        <v>826</v>
      </c>
      <c r="P35" s="91">
        <v>691</v>
      </c>
      <c r="Q35" s="92">
        <f t="shared" si="4"/>
        <v>836.09286914317715</v>
      </c>
    </row>
    <row r="36" spans="1:17">
      <c r="A36" s="24">
        <v>1984</v>
      </c>
      <c r="B36" s="99">
        <f t="shared" si="6"/>
        <v>770</v>
      </c>
      <c r="C36" s="92">
        <f t="shared" si="8"/>
        <v>988.45987570926775</v>
      </c>
      <c r="J36" s="24">
        <f t="shared" ref="J36:J63" si="9">A36</f>
        <v>1984</v>
      </c>
      <c r="K36" s="91">
        <v>11890</v>
      </c>
      <c r="L36" s="91">
        <v>787</v>
      </c>
      <c r="M36" s="92">
        <f t="shared" si="7"/>
        <v>11103</v>
      </c>
      <c r="N36" s="91"/>
      <c r="O36" s="99">
        <v>974</v>
      </c>
      <c r="P36" s="91">
        <v>770</v>
      </c>
      <c r="Q36" s="92">
        <f t="shared" si="4"/>
        <v>988.45987570926775</v>
      </c>
    </row>
    <row r="37" spans="1:17">
      <c r="A37" s="24">
        <v>1985</v>
      </c>
      <c r="B37" s="99">
        <f t="shared" si="6"/>
        <v>878</v>
      </c>
      <c r="C37" s="92">
        <f t="shared" si="8"/>
        <v>1166.1150159744409</v>
      </c>
      <c r="J37" s="24">
        <f t="shared" si="9"/>
        <v>1985</v>
      </c>
      <c r="K37" s="91">
        <v>12358</v>
      </c>
      <c r="L37" s="91">
        <v>777</v>
      </c>
      <c r="M37" s="92">
        <f t="shared" si="7"/>
        <v>11581</v>
      </c>
      <c r="N37" s="91"/>
      <c r="O37" s="99">
        <v>1148</v>
      </c>
      <c r="P37" s="91">
        <v>878</v>
      </c>
      <c r="Q37" s="92">
        <f t="shared" si="4"/>
        <v>1166.1150159744409</v>
      </c>
    </row>
    <row r="38" spans="1:17">
      <c r="A38" s="24">
        <v>1986</v>
      </c>
      <c r="B38" s="99">
        <f t="shared" si="6"/>
        <v>1048</v>
      </c>
      <c r="C38" s="92">
        <f t="shared" si="8"/>
        <v>1347.320498960499</v>
      </c>
      <c r="J38" s="24">
        <f t="shared" si="9"/>
        <v>1986</v>
      </c>
      <c r="K38" s="91">
        <v>12809</v>
      </c>
      <c r="L38" s="91">
        <v>784</v>
      </c>
      <c r="M38" s="92">
        <f t="shared" si="7"/>
        <v>12025</v>
      </c>
      <c r="N38" s="91"/>
      <c r="O38" s="99">
        <v>1329</v>
      </c>
      <c r="P38" s="91">
        <v>1048</v>
      </c>
      <c r="Q38" s="92">
        <f t="shared" si="4"/>
        <v>1347.320498960499</v>
      </c>
    </row>
    <row r="39" spans="1:17">
      <c r="A39" s="24">
        <v>1987</v>
      </c>
      <c r="B39" s="99">
        <f t="shared" si="6"/>
        <v>1143</v>
      </c>
      <c r="C39" s="92">
        <f t="shared" si="8"/>
        <v>1479.147480276928</v>
      </c>
      <c r="J39" s="24">
        <f t="shared" si="9"/>
        <v>1987</v>
      </c>
      <c r="K39" s="91">
        <v>13214</v>
      </c>
      <c r="L39" s="91">
        <v>792</v>
      </c>
      <c r="M39" s="92">
        <f t="shared" si="7"/>
        <v>12422</v>
      </c>
      <c r="N39" s="91"/>
      <c r="O39" s="99">
        <v>1459</v>
      </c>
      <c r="P39" s="91">
        <v>1143</v>
      </c>
      <c r="Q39" s="92">
        <f t="shared" si="4"/>
        <v>1479.147480276928</v>
      </c>
    </row>
    <row r="40" spans="1:17">
      <c r="A40" s="24">
        <v>1988</v>
      </c>
      <c r="B40" s="99">
        <f t="shared" si="6"/>
        <v>1280</v>
      </c>
      <c r="C40" s="92">
        <f t="shared" si="8"/>
        <v>1775.7435057336766</v>
      </c>
      <c r="J40" s="24">
        <f t="shared" si="9"/>
        <v>1988</v>
      </c>
      <c r="K40" s="91">
        <v>13608</v>
      </c>
      <c r="L40" s="91">
        <v>789</v>
      </c>
      <c r="M40" s="92">
        <f t="shared" si="7"/>
        <v>12819</v>
      </c>
      <c r="N40" s="91"/>
      <c r="O40" s="99">
        <v>1747</v>
      </c>
      <c r="P40" s="91">
        <v>1280</v>
      </c>
      <c r="Q40" s="92">
        <f t="shared" si="4"/>
        <v>1775.7435057336766</v>
      </c>
    </row>
    <row r="41" spans="1:17">
      <c r="A41" s="24">
        <v>1989</v>
      </c>
      <c r="B41" s="99">
        <f t="shared" si="6"/>
        <v>1389</v>
      </c>
      <c r="C41" s="92">
        <f t="shared" si="8"/>
        <v>1967.9453703703705</v>
      </c>
      <c r="J41" s="24">
        <f t="shared" si="9"/>
        <v>1989</v>
      </c>
      <c r="K41" s="91">
        <v>13742</v>
      </c>
      <c r="L41" s="91">
        <v>782</v>
      </c>
      <c r="M41" s="92">
        <f t="shared" si="7"/>
        <v>12960</v>
      </c>
      <c r="N41" s="91"/>
      <c r="O41" s="99">
        <v>1935</v>
      </c>
      <c r="P41" s="91">
        <v>1389</v>
      </c>
      <c r="Q41" s="92">
        <f t="shared" si="4"/>
        <v>1967.9453703703705</v>
      </c>
    </row>
    <row r="42" spans="1:17">
      <c r="A42" s="24">
        <v>1990</v>
      </c>
      <c r="B42" s="99">
        <f t="shared" si="6"/>
        <v>1541</v>
      </c>
      <c r="C42" s="92">
        <f t="shared" si="8"/>
        <v>2175.1848783793962</v>
      </c>
      <c r="J42" s="24">
        <f t="shared" si="9"/>
        <v>1990</v>
      </c>
      <c r="K42" s="91">
        <v>14059</v>
      </c>
      <c r="L42" s="91">
        <v>780</v>
      </c>
      <c r="M42" s="92">
        <f t="shared" si="7"/>
        <v>13279</v>
      </c>
      <c r="N42" s="91"/>
      <c r="O42" s="99">
        <v>2140</v>
      </c>
      <c r="P42" s="91">
        <v>1541</v>
      </c>
      <c r="Q42" s="92">
        <f t="shared" si="4"/>
        <v>2175.1848783793962</v>
      </c>
    </row>
    <row r="43" spans="1:17">
      <c r="A43" s="24">
        <v>1991</v>
      </c>
      <c r="B43" s="99">
        <f t="shared" si="6"/>
        <v>1652</v>
      </c>
      <c r="C43" s="92">
        <f t="shared" si="8"/>
        <v>2375.89605807721</v>
      </c>
      <c r="J43" s="24">
        <f t="shared" si="9"/>
        <v>1991</v>
      </c>
      <c r="K43" s="91">
        <v>15508</v>
      </c>
      <c r="L43" s="91">
        <v>769</v>
      </c>
      <c r="M43" s="92">
        <f t="shared" si="7"/>
        <v>14739</v>
      </c>
      <c r="N43" s="91"/>
      <c r="O43" s="99">
        <v>2340</v>
      </c>
      <c r="P43" s="91">
        <v>1652</v>
      </c>
      <c r="Q43" s="92">
        <f t="shared" si="4"/>
        <v>2375.89605807721</v>
      </c>
    </row>
    <row r="44" spans="1:17">
      <c r="A44" s="24">
        <v>1992</v>
      </c>
      <c r="B44" s="99">
        <f t="shared" si="6"/>
        <v>1828</v>
      </c>
      <c r="C44" s="92">
        <f t="shared" si="8"/>
        <v>2758.6923186546956</v>
      </c>
      <c r="J44" s="24">
        <f t="shared" si="9"/>
        <v>1992</v>
      </c>
      <c r="K44" s="91">
        <v>14792</v>
      </c>
      <c r="L44" s="91">
        <v>758</v>
      </c>
      <c r="M44" s="92">
        <f t="shared" si="7"/>
        <v>14034</v>
      </c>
      <c r="N44" s="91"/>
      <c r="O44" s="99">
        <v>2711</v>
      </c>
      <c r="P44" s="91">
        <v>1828</v>
      </c>
      <c r="Q44" s="92">
        <f t="shared" si="4"/>
        <v>2758.6923186546956</v>
      </c>
    </row>
    <row r="45" spans="1:17">
      <c r="A45" s="24">
        <v>1993</v>
      </c>
      <c r="B45" s="99">
        <f t="shared" si="6"/>
        <v>2042</v>
      </c>
      <c r="C45" s="92">
        <f t="shared" si="8"/>
        <v>3437.5392829361431</v>
      </c>
      <c r="J45" s="24">
        <f t="shared" si="9"/>
        <v>1993</v>
      </c>
      <c r="K45" s="91">
        <v>14849</v>
      </c>
      <c r="L45" s="91">
        <v>708</v>
      </c>
      <c r="M45" s="92">
        <f t="shared" si="7"/>
        <v>14141</v>
      </c>
      <c r="N45" s="91"/>
      <c r="O45" s="99">
        <v>3371</v>
      </c>
      <c r="P45" s="91">
        <v>2042</v>
      </c>
      <c r="Q45" s="92">
        <f t="shared" si="4"/>
        <v>3437.5392829361431</v>
      </c>
    </row>
    <row r="46" spans="1:17">
      <c r="A46" s="24">
        <v>1994</v>
      </c>
      <c r="B46" s="99">
        <f t="shared" si="6"/>
        <v>2819</v>
      </c>
      <c r="C46" s="92">
        <f t="shared" si="8"/>
        <v>4620.4984120262543</v>
      </c>
      <c r="J46" s="24">
        <f t="shared" si="9"/>
        <v>1994</v>
      </c>
      <c r="K46" s="91">
        <v>14849</v>
      </c>
      <c r="L46" s="91">
        <v>680</v>
      </c>
      <c r="M46" s="92">
        <f t="shared" si="7"/>
        <v>14169</v>
      </c>
      <c r="N46" s="91"/>
      <c r="O46" s="99">
        <v>4538</v>
      </c>
      <c r="P46" s="91">
        <v>2819</v>
      </c>
      <c r="Q46" s="92">
        <f t="shared" si="4"/>
        <v>4620.4984120262543</v>
      </c>
    </row>
    <row r="47" spans="1:17">
      <c r="A47" s="24">
        <v>1995</v>
      </c>
      <c r="B47" s="99">
        <f t="shared" si="6"/>
        <v>3522</v>
      </c>
      <c r="C47" s="92">
        <f t="shared" si="8"/>
        <v>5591.6254912970244</v>
      </c>
      <c r="J47" s="24">
        <f t="shared" si="9"/>
        <v>1995</v>
      </c>
      <c r="K47" s="91">
        <v>14908</v>
      </c>
      <c r="L47" s="91">
        <v>660</v>
      </c>
      <c r="M47" s="92">
        <f t="shared" si="7"/>
        <v>14248</v>
      </c>
      <c r="N47" s="91"/>
      <c r="O47" s="99">
        <v>5500</v>
      </c>
      <c r="P47" s="91">
        <v>3522</v>
      </c>
      <c r="Q47" s="92">
        <f t="shared" si="4"/>
        <v>5591.6254912970244</v>
      </c>
    </row>
    <row r="48" spans="1:17">
      <c r="A48" s="24">
        <v>1996</v>
      </c>
      <c r="B48" s="99">
        <f t="shared" si="6"/>
        <v>4050</v>
      </c>
      <c r="C48" s="92">
        <f t="shared" si="8"/>
        <v>6303.668822041046</v>
      </c>
      <c r="J48" s="24">
        <f t="shared" si="9"/>
        <v>1996</v>
      </c>
      <c r="K48" s="91">
        <v>14845</v>
      </c>
      <c r="L48" s="91">
        <v>617</v>
      </c>
      <c r="M48" s="92">
        <f t="shared" si="7"/>
        <v>14228</v>
      </c>
      <c r="N48" s="91"/>
      <c r="O48" s="99">
        <v>6210</v>
      </c>
      <c r="P48" s="91">
        <v>4050</v>
      </c>
      <c r="Q48" s="92">
        <f t="shared" si="4"/>
        <v>6303.668822041046</v>
      </c>
    </row>
    <row r="49" spans="1:17">
      <c r="A49" s="24">
        <v>1997</v>
      </c>
      <c r="B49" s="99">
        <f t="shared" si="6"/>
        <v>4311</v>
      </c>
      <c r="C49" s="92">
        <f t="shared" si="8"/>
        <v>6564.0031303358001</v>
      </c>
      <c r="J49" s="24">
        <f t="shared" si="9"/>
        <v>1997</v>
      </c>
      <c r="K49" s="91">
        <v>14668</v>
      </c>
      <c r="L49" s="91">
        <v>612</v>
      </c>
      <c r="M49" s="92">
        <f t="shared" si="7"/>
        <v>14056</v>
      </c>
      <c r="N49" s="91"/>
      <c r="O49" s="99">
        <v>6470</v>
      </c>
      <c r="P49" s="91">
        <v>4311</v>
      </c>
      <c r="Q49" s="92">
        <f t="shared" si="4"/>
        <v>6564.0031303358001</v>
      </c>
    </row>
    <row r="50" spans="1:17">
      <c r="A50" s="24">
        <v>1998</v>
      </c>
      <c r="B50" s="99">
        <f t="shared" si="6"/>
        <v>4528</v>
      </c>
      <c r="C50" s="92">
        <f t="shared" si="8"/>
        <v>7615.6504961411247</v>
      </c>
      <c r="J50" s="24">
        <f t="shared" si="9"/>
        <v>1998</v>
      </c>
      <c r="K50" s="91">
        <v>12337</v>
      </c>
      <c r="L50" s="91">
        <v>546</v>
      </c>
      <c r="M50" s="92">
        <f t="shared" si="7"/>
        <v>11791</v>
      </c>
      <c r="N50" s="91"/>
      <c r="O50" s="99">
        <v>7479</v>
      </c>
      <c r="P50" s="91">
        <v>4528</v>
      </c>
      <c r="Q50" s="92">
        <f t="shared" si="4"/>
        <v>7615.6504961411247</v>
      </c>
    </row>
    <row r="51" spans="1:17">
      <c r="A51" s="24">
        <v>1999</v>
      </c>
      <c r="B51" s="99">
        <f t="shared" si="6"/>
        <v>4832</v>
      </c>
      <c r="C51" s="92">
        <f t="shared" si="8"/>
        <v>8508.0549138084243</v>
      </c>
      <c r="J51" s="24">
        <f t="shared" si="9"/>
        <v>1999</v>
      </c>
      <c r="K51" s="91">
        <v>11773</v>
      </c>
      <c r="L51" s="91">
        <v>519</v>
      </c>
      <c r="M51" s="92">
        <f t="shared" si="7"/>
        <v>11254</v>
      </c>
      <c r="N51" s="91"/>
      <c r="O51" s="99">
        <v>8346</v>
      </c>
      <c r="P51" s="91">
        <v>4832</v>
      </c>
      <c r="Q51" s="92">
        <f t="shared" si="4"/>
        <v>8508.0549138084243</v>
      </c>
    </row>
    <row r="52" spans="1:17">
      <c r="A52" s="24">
        <v>2000</v>
      </c>
      <c r="B52" s="99">
        <f t="shared" si="6"/>
        <v>5184</v>
      </c>
      <c r="C52" s="92">
        <f t="shared" si="8"/>
        <v>9563.139154667906</v>
      </c>
      <c r="J52" s="24">
        <f t="shared" si="9"/>
        <v>2000</v>
      </c>
      <c r="K52" s="91">
        <v>11259</v>
      </c>
      <c r="L52" s="91">
        <v>494</v>
      </c>
      <c r="M52" s="92">
        <f t="shared" si="7"/>
        <v>10765</v>
      </c>
      <c r="N52" s="91"/>
      <c r="O52" s="99">
        <v>9371</v>
      </c>
      <c r="P52" s="91">
        <v>5184</v>
      </c>
      <c r="Q52" s="92">
        <f t="shared" si="4"/>
        <v>9563.139154667906</v>
      </c>
    </row>
    <row r="53" spans="1:17">
      <c r="A53" s="24">
        <v>2001</v>
      </c>
      <c r="B53" s="99">
        <f t="shared" si="6"/>
        <v>5741</v>
      </c>
      <c r="C53" s="92">
        <f t="shared" si="8"/>
        <v>11097.315850590285</v>
      </c>
      <c r="J53" s="24">
        <f t="shared" si="9"/>
        <v>2001</v>
      </c>
      <c r="K53" s="91">
        <v>10792</v>
      </c>
      <c r="L53" s="91">
        <v>458</v>
      </c>
      <c r="M53" s="92">
        <f t="shared" si="7"/>
        <v>10334</v>
      </c>
      <c r="N53" s="91"/>
      <c r="O53" s="99">
        <v>10870</v>
      </c>
      <c r="P53" s="91">
        <v>5741</v>
      </c>
      <c r="Q53" s="92">
        <f t="shared" si="4"/>
        <v>11097.315850590285</v>
      </c>
    </row>
    <row r="54" spans="1:17">
      <c r="A54" s="24">
        <v>2002</v>
      </c>
      <c r="B54" s="99">
        <f t="shared" si="6"/>
        <v>6398</v>
      </c>
      <c r="C54" s="92">
        <f t="shared" si="8"/>
        <v>12677.758293838862</v>
      </c>
      <c r="J54" s="24">
        <f t="shared" si="9"/>
        <v>2002</v>
      </c>
      <c r="K54" s="91">
        <v>10558</v>
      </c>
      <c r="L54" s="91">
        <v>430</v>
      </c>
      <c r="M54" s="92">
        <f t="shared" si="7"/>
        <v>10128</v>
      </c>
      <c r="N54" s="91"/>
      <c r="O54" s="99">
        <v>12422</v>
      </c>
      <c r="P54" s="91">
        <v>6398</v>
      </c>
      <c r="Q54" s="92">
        <f t="shared" si="4"/>
        <v>12677.758293838862</v>
      </c>
    </row>
    <row r="55" spans="1:17">
      <c r="A55" s="24">
        <v>2003</v>
      </c>
      <c r="B55" s="99">
        <f t="shared" si="6"/>
        <v>6884</v>
      </c>
      <c r="C55" s="92">
        <f t="shared" si="8"/>
        <v>14293.648834265323</v>
      </c>
      <c r="J55" s="24">
        <f t="shared" si="9"/>
        <v>2003</v>
      </c>
      <c r="K55" s="91">
        <v>10492</v>
      </c>
      <c r="L55" s="91">
        <v>459.7</v>
      </c>
      <c r="M55" s="92">
        <f t="shared" si="7"/>
        <v>10032.299999999999</v>
      </c>
      <c r="N55" s="91"/>
      <c r="O55" s="99">
        <v>13969</v>
      </c>
      <c r="P55" s="91">
        <v>6884</v>
      </c>
      <c r="Q55" s="92">
        <f t="shared" si="4"/>
        <v>14293.648834265323</v>
      </c>
    </row>
    <row r="56" spans="1:17">
      <c r="A56" s="24">
        <v>2004</v>
      </c>
      <c r="B56" s="99">
        <f t="shared" si="6"/>
        <v>7497</v>
      </c>
      <c r="C56" s="92">
        <f t="shared" si="8"/>
        <v>16283.995768312654</v>
      </c>
      <c r="J56" s="24">
        <f t="shared" si="9"/>
        <v>2004</v>
      </c>
      <c r="K56" s="91">
        <v>10575.9</v>
      </c>
      <c r="L56" s="91">
        <v>438.1</v>
      </c>
      <c r="M56" s="92">
        <f t="shared" si="7"/>
        <v>10137.799999999999</v>
      </c>
      <c r="N56" s="91"/>
      <c r="O56" s="99">
        <v>15920</v>
      </c>
      <c r="P56" s="91">
        <v>7497</v>
      </c>
      <c r="Q56" s="92">
        <f t="shared" si="4"/>
        <v>16283.995768312654</v>
      </c>
    </row>
    <row r="57" spans="1:17">
      <c r="A57" s="24">
        <v>2005</v>
      </c>
      <c r="B57" s="99">
        <f t="shared" si="6"/>
        <v>8207</v>
      </c>
      <c r="C57" s="92">
        <f t="shared" si="8"/>
        <v>18596.613735015955</v>
      </c>
      <c r="J57" s="24">
        <f t="shared" si="9"/>
        <v>2005</v>
      </c>
      <c r="K57" s="91">
        <v>10850.3</v>
      </c>
      <c r="L57" s="91">
        <v>414.2</v>
      </c>
      <c r="M57" s="92">
        <f t="shared" si="7"/>
        <v>10436.099999999999</v>
      </c>
      <c r="N57" s="91"/>
      <c r="O57" s="99">
        <v>18200</v>
      </c>
      <c r="P57" s="91">
        <v>8207</v>
      </c>
      <c r="Q57" s="92">
        <f t="shared" si="4"/>
        <v>18596.613735015955</v>
      </c>
    </row>
    <row r="58" spans="1:17">
      <c r="A58" s="24">
        <v>2006</v>
      </c>
      <c r="B58" s="99">
        <f t="shared" si="6"/>
        <v>9269</v>
      </c>
      <c r="C58" s="92">
        <f t="shared" si="8"/>
        <v>21289.065269321931</v>
      </c>
      <c r="J58" s="24">
        <f t="shared" si="9"/>
        <v>2006</v>
      </c>
      <c r="K58" s="91">
        <v>11160.6</v>
      </c>
      <c r="L58" s="91">
        <v>402.1</v>
      </c>
      <c r="M58" s="92">
        <f t="shared" si="7"/>
        <v>10758.5</v>
      </c>
      <c r="N58" s="91"/>
      <c r="O58" s="99">
        <v>20856</v>
      </c>
      <c r="P58" s="91">
        <v>9269</v>
      </c>
      <c r="Q58" s="92">
        <f t="shared" si="4"/>
        <v>21289.065269321931</v>
      </c>
    </row>
    <row r="59" spans="1:17">
      <c r="A59" s="24">
        <v>2007</v>
      </c>
      <c r="B59" s="99">
        <f t="shared" si="6"/>
        <v>10847</v>
      </c>
      <c r="C59" s="92">
        <f t="shared" si="8"/>
        <v>25205.393153104196</v>
      </c>
      <c r="J59" s="24">
        <f t="shared" si="9"/>
        <v>2007</v>
      </c>
      <c r="K59" s="91">
        <v>11427</v>
      </c>
      <c r="L59" s="91">
        <v>385.5</v>
      </c>
      <c r="M59" s="92">
        <f t="shared" si="7"/>
        <v>11041.5</v>
      </c>
      <c r="N59" s="91"/>
      <c r="O59" s="99">
        <v>24721</v>
      </c>
      <c r="P59" s="91">
        <v>10847</v>
      </c>
      <c r="Q59" s="92">
        <f t="shared" si="4"/>
        <v>25205.393153104196</v>
      </c>
    </row>
    <row r="60" spans="1:17">
      <c r="A60" s="24">
        <v>2008</v>
      </c>
      <c r="B60" s="99">
        <f t="shared" si="6"/>
        <v>12560</v>
      </c>
      <c r="C60" s="92">
        <f t="shared" si="8"/>
        <v>29428.878794943063</v>
      </c>
      <c r="J60" s="24">
        <f t="shared" si="9"/>
        <v>2008</v>
      </c>
      <c r="K60" s="91">
        <v>11515.4</v>
      </c>
      <c r="L60" s="91">
        <v>362.4</v>
      </c>
      <c r="M60" s="92">
        <f t="shared" si="7"/>
        <v>11153</v>
      </c>
      <c r="N60" s="91"/>
      <c r="O60" s="99">
        <v>28898</v>
      </c>
      <c r="P60" s="91">
        <v>12560</v>
      </c>
      <c r="Q60" s="92">
        <f t="shared" si="4"/>
        <v>29428.878794943063</v>
      </c>
    </row>
    <row r="61" spans="1:17">
      <c r="A61" s="24">
        <v>2009</v>
      </c>
      <c r="B61" s="99">
        <f t="shared" si="6"/>
        <v>14356</v>
      </c>
      <c r="C61" s="92">
        <f t="shared" si="8"/>
        <v>32796.480219876124</v>
      </c>
      <c r="J61" s="24">
        <f t="shared" si="9"/>
        <v>2009</v>
      </c>
      <c r="K61" s="91">
        <v>12494.778287433321</v>
      </c>
      <c r="L61" s="91">
        <v>374.34588325438841</v>
      </c>
      <c r="M61" s="92">
        <f t="shared" si="7"/>
        <v>12120.432404178931</v>
      </c>
      <c r="N61" s="91"/>
      <c r="O61" s="99">
        <v>32244</v>
      </c>
      <c r="P61" s="91">
        <v>14356</v>
      </c>
      <c r="Q61" s="92">
        <f t="shared" si="4"/>
        <v>32796.480219876124</v>
      </c>
    </row>
    <row r="62" spans="1:17">
      <c r="A62" s="24">
        <v>2010</v>
      </c>
      <c r="B62" s="99">
        <f t="shared" si="6"/>
        <v>16717</v>
      </c>
      <c r="C62" s="92">
        <f t="shared" si="8"/>
        <v>37130.899076207468</v>
      </c>
      <c r="J62" s="24">
        <f t="shared" si="9"/>
        <v>2010</v>
      </c>
      <c r="K62" s="91">
        <v>12936.830657653467</v>
      </c>
      <c r="L62" s="91">
        <v>375.10218340611351</v>
      </c>
      <c r="M62" s="92">
        <f t="shared" si="7"/>
        <v>12561.728474247353</v>
      </c>
      <c r="N62" s="91"/>
      <c r="O62" s="99">
        <v>36539</v>
      </c>
      <c r="P62" s="91">
        <v>16717</v>
      </c>
      <c r="Q62" s="92">
        <f t="shared" si="4"/>
        <v>37130.899076207468</v>
      </c>
    </row>
    <row r="63" spans="1:17">
      <c r="A63" s="25">
        <v>2011</v>
      </c>
      <c r="B63" s="99">
        <f t="shared" si="6"/>
        <v>19469</v>
      </c>
      <c r="C63" s="92">
        <f t="shared" si="8"/>
        <v>42371.15489055639</v>
      </c>
      <c r="J63" s="25">
        <f t="shared" si="9"/>
        <v>2011</v>
      </c>
      <c r="K63" s="93">
        <v>14343.563692911313</v>
      </c>
      <c r="L63" s="93">
        <v>358.33921105346963</v>
      </c>
      <c r="M63" s="94">
        <f t="shared" si="7"/>
        <v>13985.224481857844</v>
      </c>
      <c r="N63" s="91"/>
      <c r="O63" s="100">
        <v>41799</v>
      </c>
      <c r="P63" s="93">
        <v>19469</v>
      </c>
      <c r="Q63" s="94">
        <f t="shared" si="4"/>
        <v>42371.15489055639</v>
      </c>
    </row>
  </sheetData>
  <mergeCells count="2">
    <mergeCell ref="B2:C2"/>
    <mergeCell ref="F2:G2"/>
  </mergeCells>
  <pageMargins left="0.7" right="0.7" top="0.75" bottom="0.75" header="0.3" footer="0.3"/>
  <pageSetup scale="50" orientation="portrait" r:id="rId1"/>
  <colBreaks count="1" manualBreakCount="1">
    <brk id="8" max="62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V33"/>
  <sheetViews>
    <sheetView view="pageBreakPreview" zoomScale="115" zoomScaleNormal="100" zoomScaleSheetLayoutView="115" workbookViewId="0">
      <selection activeCell="A5" sqref="A5"/>
    </sheetView>
  </sheetViews>
  <sheetFormatPr defaultRowHeight="15"/>
  <cols>
    <col min="1" max="1" width="8.7109375" style="4"/>
    <col min="2" max="4" width="14.28515625" customWidth="1"/>
    <col min="5" max="6" width="13.7109375" customWidth="1"/>
    <col min="9" max="13" width="14.28515625" customWidth="1"/>
    <col min="14" max="14" width="14.7109375" customWidth="1"/>
    <col min="15" max="16" width="15.28515625" customWidth="1"/>
    <col min="17" max="18" width="15.140625" customWidth="1"/>
    <col min="19" max="20" width="8.42578125" customWidth="1"/>
    <col min="21" max="21" width="12.28515625" customWidth="1"/>
    <col min="22" max="22" width="17.85546875" customWidth="1"/>
    <col min="23" max="23" width="8" customWidth="1"/>
  </cols>
  <sheetData>
    <row r="1" spans="1:22">
      <c r="A1" s="4" t="s">
        <v>115</v>
      </c>
      <c r="B1" t="s">
        <v>218</v>
      </c>
    </row>
    <row r="2" spans="1:22">
      <c r="A2" s="31"/>
      <c r="B2" s="122" t="s">
        <v>205</v>
      </c>
      <c r="C2" s="124"/>
      <c r="D2" s="123"/>
      <c r="E2" s="124" t="s">
        <v>207</v>
      </c>
      <c r="F2" s="123"/>
      <c r="I2" s="124" t="s">
        <v>176</v>
      </c>
      <c r="J2" s="123"/>
      <c r="K2" s="124" t="s">
        <v>3</v>
      </c>
      <c r="L2" s="123"/>
      <c r="M2" s="124" t="s">
        <v>213</v>
      </c>
      <c r="N2" s="123"/>
      <c r="O2" s="124" t="s">
        <v>214</v>
      </c>
      <c r="P2" s="123"/>
      <c r="Q2" s="124" t="s">
        <v>215</v>
      </c>
      <c r="R2" s="123"/>
      <c r="T2">
        <v>1.6</v>
      </c>
    </row>
    <row r="3" spans="1:22">
      <c r="A3" s="23"/>
      <c r="B3" s="23" t="s">
        <v>7</v>
      </c>
      <c r="C3" s="20" t="s">
        <v>64</v>
      </c>
      <c r="D3" s="21" t="s">
        <v>206</v>
      </c>
      <c r="E3" s="20" t="s">
        <v>64</v>
      </c>
      <c r="F3" s="21" t="s">
        <v>206</v>
      </c>
      <c r="I3" s="16" t="s">
        <v>64</v>
      </c>
      <c r="J3" s="15" t="s">
        <v>206</v>
      </c>
      <c r="K3" s="13" t="s">
        <v>64</v>
      </c>
      <c r="L3" s="15" t="s">
        <v>206</v>
      </c>
      <c r="M3" s="13" t="s">
        <v>64</v>
      </c>
      <c r="N3" s="15" t="s">
        <v>206</v>
      </c>
      <c r="O3" s="13" t="s">
        <v>64</v>
      </c>
      <c r="P3" s="15" t="s">
        <v>206</v>
      </c>
      <c r="Q3" s="13" t="s">
        <v>64</v>
      </c>
      <c r="R3" s="15" t="s">
        <v>206</v>
      </c>
      <c r="T3" s="10"/>
      <c r="U3" s="13" t="s">
        <v>217</v>
      </c>
      <c r="V3" s="15" t="s">
        <v>216</v>
      </c>
    </row>
    <row r="4" spans="1:22">
      <c r="A4" s="74">
        <v>1978</v>
      </c>
      <c r="B4" s="32">
        <v>0.57189999999999996</v>
      </c>
      <c r="C4" s="105">
        <v>0.89449999999999996</v>
      </c>
      <c r="D4" s="84">
        <f t="shared" ref="D4:D33" si="0">(B4-C4*E4)/F4</f>
        <v>0.41713983427049423</v>
      </c>
      <c r="E4" s="32">
        <v>0.32419999999999999</v>
      </c>
      <c r="F4" s="33">
        <f>1-E4</f>
        <v>0.67579999999999996</v>
      </c>
      <c r="I4" s="36">
        <f>FinalDataCompilation!C31</f>
        <v>102.75345425553118</v>
      </c>
      <c r="J4" s="58">
        <f>FinalDataCompilation!F31</f>
        <v>261.76829314905774</v>
      </c>
      <c r="K4" s="42">
        <f>FinalDataCompilation!L31</f>
        <v>330.36</v>
      </c>
      <c r="L4" s="64">
        <f>FinalDataCompilation!M31</f>
        <v>138.07</v>
      </c>
      <c r="M4" s="6">
        <f>Prices!C32</f>
        <v>1</v>
      </c>
      <c r="N4" s="81">
        <f>Prices!D32</f>
        <v>1</v>
      </c>
      <c r="O4" s="42">
        <f>Wages!B30</f>
        <v>470</v>
      </c>
      <c r="P4" s="64">
        <f>Wages!C30</f>
        <v>628.88280078440425</v>
      </c>
      <c r="Q4" s="6">
        <f>C4/K4*M4*I4</f>
        <v>0.27822062244694462</v>
      </c>
      <c r="R4" s="81">
        <f>D4/L4*N4*J4</f>
        <v>0.79085958152725511</v>
      </c>
      <c r="S4" s="4"/>
      <c r="T4" s="75">
        <f>A4</f>
        <v>1978</v>
      </c>
      <c r="U4" s="6">
        <f>O4/P4</f>
        <v>0.7473570582845801</v>
      </c>
      <c r="V4" s="81">
        <f>$T$2*Q4/R4</f>
        <v>0.56287235599455188</v>
      </c>
    </row>
    <row r="5" spans="1:22">
      <c r="A5" s="75">
        <v>1979</v>
      </c>
      <c r="B5" s="4">
        <v>0.58589999999999998</v>
      </c>
      <c r="C5" s="6">
        <v>0.89129999999999998</v>
      </c>
      <c r="D5" s="81">
        <f t="shared" si="0"/>
        <v>0.42260755064456723</v>
      </c>
      <c r="E5" s="4">
        <v>0.34839999999999999</v>
      </c>
      <c r="F5" s="18">
        <f t="shared" ref="F5:F33" si="1">1-E5</f>
        <v>0.65159999999999996</v>
      </c>
      <c r="I5" s="36">
        <f>FinalDataCompilation!C32</f>
        <v>109.0564636853929</v>
      </c>
      <c r="J5" s="58">
        <f>FinalDataCompilation!F32</f>
        <v>283.06998287020593</v>
      </c>
      <c r="K5" s="42">
        <f>FinalDataCompilation!L32</f>
        <v>334.79</v>
      </c>
      <c r="L5" s="64">
        <f>FinalDataCompilation!M32</f>
        <v>144.88</v>
      </c>
      <c r="M5" s="6">
        <f>Prices!C33</f>
        <v>1.1647101558843935</v>
      </c>
      <c r="N5" s="81">
        <f>Prices!D33</f>
        <v>0.9864654154986271</v>
      </c>
      <c r="O5" s="42">
        <f>Wages!B31</f>
        <v>528</v>
      </c>
      <c r="P5" s="64">
        <f>Wages!C31</f>
        <v>680.20113438045371</v>
      </c>
      <c r="Q5" s="6">
        <f t="shared" ref="Q5:Q33" si="2">C5/K5*M5*I5</f>
        <v>0.33815880686748712</v>
      </c>
      <c r="R5" s="81">
        <f t="shared" ref="R5:R33" si="3">D5/L5*N5*J5</f>
        <v>0.81452514805546761</v>
      </c>
      <c r="S5" s="4"/>
      <c r="T5" s="75">
        <f t="shared" ref="T5:T33" si="4">A5</f>
        <v>1979</v>
      </c>
      <c r="U5" s="6">
        <f t="shared" ref="U5:U33" si="5">O5/P5</f>
        <v>0.77624098713230938</v>
      </c>
      <c r="V5" s="81">
        <f t="shared" ref="V5:V33" si="6">$T$2*Q5/R5</f>
        <v>0.66425707331400241</v>
      </c>
    </row>
    <row r="6" spans="1:22">
      <c r="A6" s="75">
        <v>1980</v>
      </c>
      <c r="B6" s="4">
        <v>0.58220000000000005</v>
      </c>
      <c r="C6" s="6">
        <v>0.89380000000000004</v>
      </c>
      <c r="D6" s="81">
        <f t="shared" si="0"/>
        <v>0.42684360857185677</v>
      </c>
      <c r="E6" s="4">
        <v>0.3327</v>
      </c>
      <c r="F6" s="18">
        <f t="shared" si="1"/>
        <v>0.6673</v>
      </c>
      <c r="I6" s="36">
        <f>FinalDataCompilation!C33</f>
        <v>107.43917128335457</v>
      </c>
      <c r="J6" s="58">
        <f>FinalDataCompilation!F33</f>
        <v>315.4356431765882</v>
      </c>
      <c r="K6" s="42">
        <f>FinalDataCompilation!L33</f>
        <v>339.59</v>
      </c>
      <c r="L6" s="64">
        <f>FinalDataCompilation!M33</f>
        <v>154.38</v>
      </c>
      <c r="M6" s="6">
        <f>Prices!C34</f>
        <v>1.2766229736595487</v>
      </c>
      <c r="N6" s="81">
        <f>Prices!D34</f>
        <v>1.0062372146910792</v>
      </c>
      <c r="O6" s="42">
        <f>Wages!B32</f>
        <v>616</v>
      </c>
      <c r="P6" s="64">
        <f>Wages!C32</f>
        <v>773.91466445733226</v>
      </c>
      <c r="Q6" s="6">
        <f t="shared" si="2"/>
        <v>0.36100295989072839</v>
      </c>
      <c r="R6" s="81">
        <f t="shared" si="3"/>
        <v>0.87758438477385459</v>
      </c>
      <c r="S6" s="4"/>
      <c r="T6" s="75">
        <f t="shared" si="4"/>
        <v>1980</v>
      </c>
      <c r="U6" s="6">
        <f t="shared" si="5"/>
        <v>0.79595338903668178</v>
      </c>
      <c r="V6" s="81">
        <f t="shared" si="6"/>
        <v>0.65817572172732874</v>
      </c>
    </row>
    <row r="7" spans="1:22">
      <c r="A7" s="75">
        <v>1981</v>
      </c>
      <c r="B7" s="4">
        <v>0.59809999999999997</v>
      </c>
      <c r="C7" s="6">
        <v>0.90749999999999997</v>
      </c>
      <c r="D7" s="81">
        <f t="shared" si="0"/>
        <v>0.42951452186003397</v>
      </c>
      <c r="E7" s="4">
        <v>0.35270000000000001</v>
      </c>
      <c r="F7" s="18">
        <f t="shared" si="1"/>
        <v>0.64729999999999999</v>
      </c>
      <c r="I7" s="36">
        <f>FinalDataCompilation!C34</f>
        <v>114.94144972189208</v>
      </c>
      <c r="J7" s="58">
        <f>FinalDataCompilation!F34</f>
        <v>330.1051544145227</v>
      </c>
      <c r="K7" s="42">
        <f>FinalDataCompilation!L34</f>
        <v>347.58</v>
      </c>
      <c r="L7" s="64">
        <f>FinalDataCompilation!M34</f>
        <v>162.81</v>
      </c>
      <c r="M7" s="6">
        <f>Prices!C35</f>
        <v>1.3567457768042421</v>
      </c>
      <c r="N7" s="81">
        <f>Prices!D35</f>
        <v>1.0094049585351328</v>
      </c>
      <c r="O7" s="42">
        <f>Wages!B33</f>
        <v>637</v>
      </c>
      <c r="P7" s="64">
        <f>Wages!C33</f>
        <v>782.60780834072762</v>
      </c>
      <c r="Q7" s="6">
        <f t="shared" si="2"/>
        <v>0.40716177941658127</v>
      </c>
      <c r="R7" s="81">
        <f t="shared" si="3"/>
        <v>0.87905189612837964</v>
      </c>
      <c r="S7" s="4"/>
      <c r="T7" s="75">
        <f t="shared" si="4"/>
        <v>1981</v>
      </c>
      <c r="U7" s="6">
        <f t="shared" si="5"/>
        <v>0.81394536728499689</v>
      </c>
      <c r="V7" s="81">
        <f t="shared" si="6"/>
        <v>0.74109259070569022</v>
      </c>
    </row>
    <row r="8" spans="1:22">
      <c r="A8" s="75">
        <v>1982</v>
      </c>
      <c r="B8" s="4">
        <v>0.60519999999999996</v>
      </c>
      <c r="C8" s="6">
        <v>0.90110000000000001</v>
      </c>
      <c r="D8" s="81">
        <f t="shared" si="0"/>
        <v>0.43364344391785142</v>
      </c>
      <c r="E8" s="4">
        <v>0.36699999999999999</v>
      </c>
      <c r="F8" s="18">
        <f t="shared" si="1"/>
        <v>0.63300000000000001</v>
      </c>
      <c r="I8" s="36">
        <f>FinalDataCompilation!C35</f>
        <v>128.1931378049162</v>
      </c>
      <c r="J8" s="58">
        <f>FinalDataCompilation!F35</f>
        <v>357.16076163477999</v>
      </c>
      <c r="K8" s="42">
        <f>FinalDataCompilation!L35</f>
        <v>358.48</v>
      </c>
      <c r="L8" s="64">
        <f>FinalDataCompilation!M35</f>
        <v>167.7</v>
      </c>
      <c r="M8" s="6">
        <f>Prices!C36</f>
        <v>1.3865022013898085</v>
      </c>
      <c r="N8" s="81">
        <f>Prices!D36</f>
        <v>0.99281630791360664</v>
      </c>
      <c r="O8" s="42">
        <f>Wages!B34</f>
        <v>661</v>
      </c>
      <c r="P8" s="64">
        <f>Wages!C34</f>
        <v>808.41482258679889</v>
      </c>
      <c r="Q8" s="6">
        <f t="shared" si="2"/>
        <v>0.44677966711440414</v>
      </c>
      <c r="R8" s="81">
        <f t="shared" si="3"/>
        <v>0.91692194061232435</v>
      </c>
      <c r="S8" s="4"/>
      <c r="T8" s="75">
        <f t="shared" si="4"/>
        <v>1982</v>
      </c>
      <c r="U8" s="6">
        <f t="shared" si="5"/>
        <v>0.81764953033011578</v>
      </c>
      <c r="V8" s="81">
        <f t="shared" si="6"/>
        <v>0.77961649265985344</v>
      </c>
    </row>
    <row r="9" spans="1:22">
      <c r="A9" s="75">
        <v>1983</v>
      </c>
      <c r="B9" s="4">
        <v>0.60570000000000002</v>
      </c>
      <c r="C9" s="6">
        <v>0.90769999999999995</v>
      </c>
      <c r="D9" s="81">
        <f t="shared" si="0"/>
        <v>0.43135930599369093</v>
      </c>
      <c r="E9" s="4">
        <v>0.36599999999999999</v>
      </c>
      <c r="F9" s="18">
        <f t="shared" si="1"/>
        <v>0.63400000000000001</v>
      </c>
      <c r="I9" s="36">
        <f>FinalDataCompilation!C36</f>
        <v>138.86616112869223</v>
      </c>
      <c r="J9" s="58">
        <f>FinalDataCompilation!F36</f>
        <v>399.16309666554497</v>
      </c>
      <c r="K9" s="42">
        <f>FinalDataCompilation!L36</f>
        <v>363.04</v>
      </c>
      <c r="L9" s="64">
        <f>FinalDataCompilation!M36</f>
        <v>178.14</v>
      </c>
      <c r="M9" s="6">
        <f>Prices!C37</f>
        <v>1.4246720631939516</v>
      </c>
      <c r="N9" s="81">
        <f>Prices!D37</f>
        <v>0.9981544383352825</v>
      </c>
      <c r="O9" s="42">
        <f>Wages!B35</f>
        <v>691</v>
      </c>
      <c r="P9" s="64">
        <f>Wages!C35</f>
        <v>836.09286914317715</v>
      </c>
      <c r="Q9" s="6">
        <f t="shared" si="2"/>
        <v>0.49465134573301361</v>
      </c>
      <c r="R9" s="81">
        <f t="shared" si="3"/>
        <v>0.96477457356746732</v>
      </c>
      <c r="S9" s="4"/>
      <c r="T9" s="75">
        <f t="shared" si="4"/>
        <v>1983</v>
      </c>
      <c r="U9" s="6">
        <f t="shared" si="5"/>
        <v>0.82646321419788282</v>
      </c>
      <c r="V9" s="81">
        <f t="shared" si="6"/>
        <v>0.82033894223216253</v>
      </c>
    </row>
    <row r="10" spans="1:22">
      <c r="A10" s="75">
        <v>1984</v>
      </c>
      <c r="B10" s="4">
        <v>0.60870000000000002</v>
      </c>
      <c r="C10" s="6">
        <v>0.91080000000000005</v>
      </c>
      <c r="D10" s="81">
        <f t="shared" si="0"/>
        <v>0.44235527988835477</v>
      </c>
      <c r="E10" s="4">
        <v>0.35510000000000003</v>
      </c>
      <c r="F10" s="18">
        <f t="shared" si="1"/>
        <v>0.64490000000000003</v>
      </c>
      <c r="I10" s="36">
        <f>FinalDataCompilation!C37</f>
        <v>156.75321335598409</v>
      </c>
      <c r="J10" s="58">
        <f>FinalDataCompilation!F37</f>
        <v>462.92747865390362</v>
      </c>
      <c r="K10" s="42">
        <f>FinalDataCompilation!L37</f>
        <v>357.43</v>
      </c>
      <c r="L10" s="64">
        <f>FinalDataCompilation!M37</f>
        <v>200.66</v>
      </c>
      <c r="M10" s="6">
        <f>Prices!C38</f>
        <v>1.4775387669117621</v>
      </c>
      <c r="N10" s="81">
        <f>Prices!D38</f>
        <v>1.0567448354697615</v>
      </c>
      <c r="O10" s="42">
        <f>Wages!B36</f>
        <v>770</v>
      </c>
      <c r="P10" s="64">
        <f>Wages!C36</f>
        <v>988.45987570926775</v>
      </c>
      <c r="Q10" s="6">
        <f t="shared" si="2"/>
        <v>0.59018389969975416</v>
      </c>
      <c r="R10" s="81">
        <f t="shared" si="3"/>
        <v>1.0784338274701546</v>
      </c>
      <c r="S10" s="4"/>
      <c r="T10" s="75">
        <f t="shared" si="4"/>
        <v>1984</v>
      </c>
      <c r="U10" s="6">
        <f t="shared" si="5"/>
        <v>0.77898963723488301</v>
      </c>
      <c r="V10" s="81">
        <f t="shared" si="6"/>
        <v>0.87561630159059511</v>
      </c>
    </row>
    <row r="11" spans="1:22">
      <c r="A11" s="75">
        <v>1985</v>
      </c>
      <c r="B11" s="4">
        <v>0.60140000000000005</v>
      </c>
      <c r="C11" s="6">
        <v>0.91700000000000004</v>
      </c>
      <c r="D11" s="81">
        <f t="shared" si="0"/>
        <v>0.44770631970260227</v>
      </c>
      <c r="E11" s="4">
        <v>0.32750000000000001</v>
      </c>
      <c r="F11" s="18">
        <f t="shared" si="1"/>
        <v>0.67249999999999999</v>
      </c>
      <c r="I11" s="36">
        <f>FinalDataCompilation!C38</f>
        <v>159.64349923417456</v>
      </c>
      <c r="J11" s="58">
        <f>FinalDataCompilation!F38</f>
        <v>543.48458824281897</v>
      </c>
      <c r="K11" s="42">
        <f>FinalDataCompilation!L38</f>
        <v>359.22</v>
      </c>
      <c r="L11" s="64">
        <f>FinalDataCompilation!M38</f>
        <v>216.29</v>
      </c>
      <c r="M11" s="6">
        <f>Prices!C39</f>
        <v>1.6063271620039132</v>
      </c>
      <c r="N11" s="81">
        <f>Prices!D39</f>
        <v>1.1870878824549029</v>
      </c>
      <c r="O11" s="42">
        <f>Wages!B37</f>
        <v>878</v>
      </c>
      <c r="P11" s="64">
        <f>Wages!C37</f>
        <v>1166.1150159744409</v>
      </c>
      <c r="Q11" s="6">
        <f t="shared" si="2"/>
        <v>0.65462723363247433</v>
      </c>
      <c r="R11" s="81">
        <f t="shared" si="3"/>
        <v>1.335447714492227</v>
      </c>
      <c r="S11" s="4"/>
      <c r="T11" s="75">
        <f t="shared" si="4"/>
        <v>1985</v>
      </c>
      <c r="U11" s="6">
        <f t="shared" si="5"/>
        <v>0.75292744538266387</v>
      </c>
      <c r="V11" s="81">
        <f t="shared" si="6"/>
        <v>0.78430893433383864</v>
      </c>
    </row>
    <row r="12" spans="1:22">
      <c r="A12" s="75">
        <v>1986</v>
      </c>
      <c r="B12" s="4">
        <v>0.60370000000000001</v>
      </c>
      <c r="C12" s="6">
        <v>0.90620000000000001</v>
      </c>
      <c r="D12" s="81">
        <f t="shared" si="0"/>
        <v>0.46101972038263433</v>
      </c>
      <c r="E12" s="4">
        <v>0.32050000000000001</v>
      </c>
      <c r="F12" s="18">
        <f t="shared" si="1"/>
        <v>0.67949999999999999</v>
      </c>
      <c r="I12" s="36">
        <f>FinalDataCompilation!C39</f>
        <v>164.94105825619482</v>
      </c>
      <c r="J12" s="58">
        <f>FinalDataCompilation!F39</f>
        <v>600.3883882338323</v>
      </c>
      <c r="K12" s="42">
        <f>FinalDataCompilation!L39</f>
        <v>360.51</v>
      </c>
      <c r="L12" s="64">
        <f>FinalDataCompilation!M39</f>
        <v>231</v>
      </c>
      <c r="M12" s="6">
        <f>Prices!C40</f>
        <v>1.6907196065822749</v>
      </c>
      <c r="N12" s="81">
        <f>Prices!D40</f>
        <v>1.2469409055704803</v>
      </c>
      <c r="O12" s="42">
        <f>Wages!B38</f>
        <v>1048</v>
      </c>
      <c r="P12" s="64">
        <f>Wages!C38</f>
        <v>1347.320498960499</v>
      </c>
      <c r="Q12" s="6">
        <f t="shared" si="2"/>
        <v>0.70098238971104809</v>
      </c>
      <c r="R12" s="81">
        <f t="shared" si="3"/>
        <v>1.4941206888334557</v>
      </c>
      <c r="S12" s="4"/>
      <c r="T12" s="75">
        <f t="shared" si="4"/>
        <v>1986</v>
      </c>
      <c r="U12" s="6">
        <f t="shared" si="5"/>
        <v>0.77784016557943392</v>
      </c>
      <c r="V12" s="81">
        <f t="shared" si="6"/>
        <v>0.75065677887999227</v>
      </c>
    </row>
    <row r="13" spans="1:22">
      <c r="A13" s="75">
        <v>1987</v>
      </c>
      <c r="B13" s="4">
        <v>0.59430000000000005</v>
      </c>
      <c r="C13" s="6">
        <v>0.89610000000000001</v>
      </c>
      <c r="D13" s="81">
        <f t="shared" si="0"/>
        <v>0.45839151559100805</v>
      </c>
      <c r="E13" s="4">
        <v>0.3105</v>
      </c>
      <c r="F13" s="18">
        <f t="shared" si="1"/>
        <v>0.6895</v>
      </c>
      <c r="I13" s="36">
        <f>FinalDataCompilation!C40</f>
        <v>172.70042411785965</v>
      </c>
      <c r="J13" s="58">
        <f>FinalDataCompilation!F40</f>
        <v>681.27915094915943</v>
      </c>
      <c r="K13" s="42">
        <f>FinalDataCompilation!L40</f>
        <v>364.38</v>
      </c>
      <c r="L13" s="64">
        <f>FinalDataCompilation!M40</f>
        <v>243.06</v>
      </c>
      <c r="M13" s="6">
        <f>Prices!C41</f>
        <v>1.8720515581706638</v>
      </c>
      <c r="N13" s="81">
        <f>Prices!D41</f>
        <v>1.2954416896763399</v>
      </c>
      <c r="O13" s="42">
        <f>Wages!B39</f>
        <v>1143</v>
      </c>
      <c r="P13" s="64">
        <f>Wages!C39</f>
        <v>1479.147480276928</v>
      </c>
      <c r="Q13" s="6">
        <f t="shared" si="2"/>
        <v>0.79508425895344603</v>
      </c>
      <c r="R13" s="81">
        <f t="shared" si="3"/>
        <v>1.6644319542679542</v>
      </c>
      <c r="S13" s="4"/>
      <c r="T13" s="75">
        <f t="shared" si="4"/>
        <v>1987</v>
      </c>
      <c r="U13" s="6">
        <f t="shared" si="5"/>
        <v>0.77274241767021501</v>
      </c>
      <c r="V13" s="81">
        <f t="shared" si="6"/>
        <v>0.76430569063727238</v>
      </c>
    </row>
    <row r="14" spans="1:22">
      <c r="A14" s="75">
        <v>1988</v>
      </c>
      <c r="B14" s="4">
        <v>0.59799999999999998</v>
      </c>
      <c r="C14" s="6">
        <v>0.89270000000000005</v>
      </c>
      <c r="D14" s="81">
        <f t="shared" si="0"/>
        <v>0.47109771101573666</v>
      </c>
      <c r="E14" s="4">
        <v>0.30099999999999999</v>
      </c>
      <c r="F14" s="18">
        <f t="shared" si="1"/>
        <v>0.69900000000000007</v>
      </c>
      <c r="I14" s="36">
        <f>FinalDataCompilation!C41</f>
        <v>177.09428189494702</v>
      </c>
      <c r="J14" s="58">
        <f>FinalDataCompilation!F41</f>
        <v>773.21917349498108</v>
      </c>
      <c r="K14" s="42">
        <f>FinalDataCompilation!L41</f>
        <v>369.39</v>
      </c>
      <c r="L14" s="64">
        <f>FinalDataCompilation!M41</f>
        <v>253</v>
      </c>
      <c r="M14" s="6">
        <f>Prices!C42</f>
        <v>2.1826578064895488</v>
      </c>
      <c r="N14" s="81">
        <f>Prices!D42</f>
        <v>1.4455747121409952</v>
      </c>
      <c r="O14" s="42">
        <f>Wages!B40</f>
        <v>1280</v>
      </c>
      <c r="P14" s="64">
        <f>Wages!C40</f>
        <v>1775.7435057336766</v>
      </c>
      <c r="Q14" s="6">
        <f t="shared" si="2"/>
        <v>0.93413703888384292</v>
      </c>
      <c r="R14" s="81">
        <f t="shared" si="3"/>
        <v>2.0812949475826485</v>
      </c>
      <c r="S14" s="4"/>
      <c r="T14" s="75">
        <f t="shared" si="4"/>
        <v>1988</v>
      </c>
      <c r="U14" s="6">
        <f t="shared" si="5"/>
        <v>0.72082482400584524</v>
      </c>
      <c r="V14" s="81">
        <f t="shared" si="6"/>
        <v>0.71811987241409336</v>
      </c>
    </row>
    <row r="15" spans="1:22">
      <c r="A15" s="75">
        <v>1989</v>
      </c>
      <c r="B15" s="4">
        <v>0.59370000000000001</v>
      </c>
      <c r="C15" s="6">
        <v>0.88649999999999995</v>
      </c>
      <c r="D15" s="81">
        <f t="shared" si="0"/>
        <v>0.47404754190731085</v>
      </c>
      <c r="E15" s="4">
        <v>0.29010000000000002</v>
      </c>
      <c r="F15" s="18">
        <f t="shared" si="1"/>
        <v>0.70989999999999998</v>
      </c>
      <c r="I15" s="36">
        <f>FinalDataCompilation!C42</f>
        <v>182.53986094846488</v>
      </c>
      <c r="J15" s="58">
        <f>FinalDataCompilation!F42</f>
        <v>806.38676134775324</v>
      </c>
      <c r="K15" s="42">
        <f>FinalDataCompilation!L42</f>
        <v>381.68</v>
      </c>
      <c r="L15" s="64">
        <f>FinalDataCompilation!M42</f>
        <v>253.94</v>
      </c>
      <c r="M15" s="6">
        <f>Prices!C43</f>
        <v>2.3369816539933477</v>
      </c>
      <c r="N15" s="81">
        <f>Prices!D43</f>
        <v>1.5782000220794694</v>
      </c>
      <c r="O15" s="42">
        <f>Wages!B41</f>
        <v>1389</v>
      </c>
      <c r="P15" s="64">
        <f>Wages!C41</f>
        <v>1967.9453703703705</v>
      </c>
      <c r="Q15" s="6">
        <f t="shared" si="2"/>
        <v>0.99081450275101102</v>
      </c>
      <c r="R15" s="81">
        <f t="shared" si="3"/>
        <v>2.3757252747785866</v>
      </c>
      <c r="S15" s="4"/>
      <c r="T15" s="75">
        <f t="shared" si="4"/>
        <v>1989</v>
      </c>
      <c r="U15" s="6">
        <f t="shared" si="5"/>
        <v>0.70581227554024428</v>
      </c>
      <c r="V15" s="81">
        <f t="shared" si="6"/>
        <v>0.66729230910310755</v>
      </c>
    </row>
    <row r="16" spans="1:22">
      <c r="A16" s="75">
        <v>1990</v>
      </c>
      <c r="B16" s="4">
        <v>0.61399999999999999</v>
      </c>
      <c r="C16" s="6">
        <v>0.88560000000000005</v>
      </c>
      <c r="D16" s="81">
        <f t="shared" si="0"/>
        <v>0.4937373539171836</v>
      </c>
      <c r="E16" s="4">
        <v>0.30690000000000001</v>
      </c>
      <c r="F16" s="18">
        <f t="shared" si="1"/>
        <v>0.69310000000000005</v>
      </c>
      <c r="I16" s="36">
        <f>FinalDataCompilation!C43</f>
        <v>195.91619747906606</v>
      </c>
      <c r="J16" s="58">
        <f>FinalDataCompilation!F43</f>
        <v>830.97556446776184</v>
      </c>
      <c r="K16" s="42">
        <f>FinalDataCompilation!L43</f>
        <v>389.14</v>
      </c>
      <c r="L16" s="64">
        <f>FinalDataCompilation!M43</f>
        <v>258.35000000000002</v>
      </c>
      <c r="M16" s="6">
        <f>Prices!C44</f>
        <v>2.5837577827330396</v>
      </c>
      <c r="N16" s="81">
        <f>Prices!D44</f>
        <v>1.6373312234301813</v>
      </c>
      <c r="O16" s="42">
        <f>Wages!B42</f>
        <v>1541</v>
      </c>
      <c r="P16" s="64">
        <f>Wages!C42</f>
        <v>2175.1848783793962</v>
      </c>
      <c r="Q16" s="6">
        <f t="shared" si="2"/>
        <v>1.1520037004676982</v>
      </c>
      <c r="R16" s="81">
        <f t="shared" si="3"/>
        <v>2.6002333028239653</v>
      </c>
      <c r="S16" s="4"/>
      <c r="T16" s="75">
        <f t="shared" si="4"/>
        <v>1990</v>
      </c>
      <c r="U16" s="6">
        <f t="shared" si="5"/>
        <v>0.70844552815579953</v>
      </c>
      <c r="V16" s="81">
        <f t="shared" si="6"/>
        <v>0.70886174665423918</v>
      </c>
    </row>
    <row r="17" spans="1:22">
      <c r="A17" s="75">
        <v>1991</v>
      </c>
      <c r="B17" s="4">
        <v>0.60140000000000005</v>
      </c>
      <c r="C17" s="6">
        <v>0.88919999999999999</v>
      </c>
      <c r="D17" s="81">
        <f t="shared" si="0"/>
        <v>0.48958878089419616</v>
      </c>
      <c r="E17" s="4">
        <v>0.27979999999999999</v>
      </c>
      <c r="F17" s="18">
        <f t="shared" si="1"/>
        <v>0.72019999999999995</v>
      </c>
      <c r="I17" s="36">
        <f>FinalDataCompilation!C44</f>
        <v>200.61787381482037</v>
      </c>
      <c r="J17" s="58">
        <f>FinalDataCompilation!F44</f>
        <v>920.53163292869476</v>
      </c>
      <c r="K17" s="42">
        <f>FinalDataCompilation!L44</f>
        <v>390.98</v>
      </c>
      <c r="L17" s="64">
        <f>FinalDataCompilation!M44</f>
        <v>263.93</v>
      </c>
      <c r="M17" s="6">
        <f>Prices!C45</f>
        <v>2.6628734012658808</v>
      </c>
      <c r="N17" s="81">
        <f>Prices!D45</f>
        <v>1.785848397027499</v>
      </c>
      <c r="O17" s="42">
        <f>Wages!B43</f>
        <v>1652</v>
      </c>
      <c r="P17" s="64">
        <f>Wages!C43</f>
        <v>2375.89605807721</v>
      </c>
      <c r="Q17" s="6">
        <f t="shared" si="2"/>
        <v>1.2149686019745256</v>
      </c>
      <c r="R17" s="81">
        <f t="shared" si="3"/>
        <v>3.0494815130081654</v>
      </c>
      <c r="S17" s="4"/>
      <c r="T17" s="75">
        <f t="shared" si="4"/>
        <v>1991</v>
      </c>
      <c r="U17" s="6">
        <f t="shared" si="5"/>
        <v>0.69531661302428682</v>
      </c>
      <c r="V17" s="81">
        <f t="shared" si="6"/>
        <v>0.63746894508687446</v>
      </c>
    </row>
    <row r="18" spans="1:22">
      <c r="A18" s="75">
        <v>1992</v>
      </c>
      <c r="B18" s="4">
        <v>0.57920000000000005</v>
      </c>
      <c r="C18" s="6">
        <v>0.88690000000000002</v>
      </c>
      <c r="D18" s="81">
        <f t="shared" si="0"/>
        <v>0.47597585470085479</v>
      </c>
      <c r="E18" s="4">
        <v>0.25119999999999998</v>
      </c>
      <c r="F18" s="18">
        <f t="shared" si="1"/>
        <v>0.74880000000000002</v>
      </c>
      <c r="I18" s="36">
        <f>FinalDataCompilation!C45</f>
        <v>210.04856181386253</v>
      </c>
      <c r="J18" s="58">
        <f>FinalDataCompilation!F45</f>
        <v>1070.7605540014215</v>
      </c>
      <c r="K18" s="42">
        <f>FinalDataCompilation!L45</f>
        <v>386.99</v>
      </c>
      <c r="L18" s="64">
        <f>FinalDataCompilation!M45</f>
        <v>274.52999999999997</v>
      </c>
      <c r="M18" s="6">
        <f>Prices!C46</f>
        <v>2.792973181696321</v>
      </c>
      <c r="N18" s="81">
        <f>Prices!D46</f>
        <v>1.9665345695106218</v>
      </c>
      <c r="O18" s="42">
        <f>Wages!B44</f>
        <v>1828</v>
      </c>
      <c r="P18" s="64">
        <f>Wages!C44</f>
        <v>2758.6923186546956</v>
      </c>
      <c r="Q18" s="6">
        <f t="shared" si="2"/>
        <v>1.3445018062482235</v>
      </c>
      <c r="R18" s="81">
        <f t="shared" si="3"/>
        <v>3.6508085696109034</v>
      </c>
      <c r="S18" s="4"/>
      <c r="T18" s="75">
        <f t="shared" si="4"/>
        <v>1992</v>
      </c>
      <c r="U18" s="6">
        <f t="shared" si="5"/>
        <v>0.66263279440000866</v>
      </c>
      <c r="V18" s="81">
        <f t="shared" si="6"/>
        <v>0.58924012283296168</v>
      </c>
    </row>
    <row r="19" spans="1:22">
      <c r="A19" s="75">
        <v>1993</v>
      </c>
      <c r="B19" s="4">
        <v>0.57579999999999998</v>
      </c>
      <c r="C19" s="6">
        <v>0.87870000000000004</v>
      </c>
      <c r="D19" s="81">
        <f t="shared" si="0"/>
        <v>0.4872551822176272</v>
      </c>
      <c r="E19" s="4">
        <v>0.22620000000000001</v>
      </c>
      <c r="F19" s="18">
        <f t="shared" si="1"/>
        <v>0.77380000000000004</v>
      </c>
      <c r="I19" s="36">
        <f>FinalDataCompilation!C46</f>
        <v>219.92442514702097</v>
      </c>
      <c r="J19" s="58">
        <f>FinalDataCompilation!F46</f>
        <v>1239.7409057990058</v>
      </c>
      <c r="K19" s="42">
        <f>FinalDataCompilation!L46</f>
        <v>376.8</v>
      </c>
      <c r="L19" s="64">
        <f>FinalDataCompilation!M46</f>
        <v>291.27999999999997</v>
      </c>
      <c r="M19" s="6">
        <f>Prices!C47</f>
        <v>3.1664345105373557</v>
      </c>
      <c r="N19" s="81">
        <f>Prices!D47</f>
        <v>2.2883944287782998</v>
      </c>
      <c r="O19" s="42">
        <f>Wages!B45</f>
        <v>2042</v>
      </c>
      <c r="P19" s="64">
        <f>Wages!C45</f>
        <v>3437.5392829361431</v>
      </c>
      <c r="Q19" s="6">
        <f t="shared" si="2"/>
        <v>1.6239539426215455</v>
      </c>
      <c r="R19" s="81">
        <f t="shared" si="3"/>
        <v>4.7457801314707275</v>
      </c>
      <c r="S19" s="4"/>
      <c r="T19" s="75">
        <f t="shared" si="4"/>
        <v>1993</v>
      </c>
      <c r="U19" s="6">
        <f t="shared" si="5"/>
        <v>0.5940295752070196</v>
      </c>
      <c r="V19" s="81">
        <f t="shared" si="6"/>
        <v>0.54750246244324974</v>
      </c>
    </row>
    <row r="20" spans="1:22">
      <c r="A20" s="75">
        <v>1994</v>
      </c>
      <c r="B20" s="4">
        <v>0.58420000000000005</v>
      </c>
      <c r="C20" s="6">
        <v>0.87280000000000002</v>
      </c>
      <c r="D20" s="81">
        <f t="shared" si="0"/>
        <v>0.49804347487339312</v>
      </c>
      <c r="E20" s="4">
        <v>0.22989999999999999</v>
      </c>
      <c r="F20" s="18">
        <f t="shared" si="1"/>
        <v>0.77010000000000001</v>
      </c>
      <c r="I20" s="36">
        <f>FinalDataCompilation!C47</f>
        <v>228.72249556600318</v>
      </c>
      <c r="J20" s="58">
        <f>FinalDataCompilation!F47</f>
        <v>1421.8770131621563</v>
      </c>
      <c r="K20" s="42">
        <f>FinalDataCompilation!L47</f>
        <v>366.28</v>
      </c>
      <c r="L20" s="64">
        <f>FinalDataCompilation!M47</f>
        <v>308.27</v>
      </c>
      <c r="M20" s="6">
        <f>Prices!C48</f>
        <v>4.1852878206863933</v>
      </c>
      <c r="N20" s="81">
        <f>Prices!D48</f>
        <v>2.7164910422678252</v>
      </c>
      <c r="O20" s="42">
        <f>Wages!B46</f>
        <v>2819</v>
      </c>
      <c r="P20" s="64">
        <f>Wages!C46</f>
        <v>4620.4984120262543</v>
      </c>
      <c r="Q20" s="6">
        <f t="shared" si="2"/>
        <v>2.2810549246155842</v>
      </c>
      <c r="R20" s="81">
        <f t="shared" si="3"/>
        <v>6.2403119823313578</v>
      </c>
      <c r="S20" s="4"/>
      <c r="T20" s="75">
        <f t="shared" si="4"/>
        <v>1994</v>
      </c>
      <c r="U20" s="6">
        <f t="shared" si="5"/>
        <v>0.61010734094458163</v>
      </c>
      <c r="V20" s="81">
        <f t="shared" si="6"/>
        <v>0.58485663693074275</v>
      </c>
    </row>
    <row r="21" spans="1:22">
      <c r="A21" s="75">
        <v>1995</v>
      </c>
      <c r="B21" s="4">
        <v>0.59099999999999997</v>
      </c>
      <c r="C21" s="6">
        <v>0.88329999999999997</v>
      </c>
      <c r="D21" s="81">
        <f t="shared" si="0"/>
        <v>0.50383745294041282</v>
      </c>
      <c r="E21" s="4">
        <v>0.22969999999999999</v>
      </c>
      <c r="F21" s="18">
        <f t="shared" si="1"/>
        <v>0.77029999999999998</v>
      </c>
      <c r="I21" s="36">
        <f>FinalDataCompilation!C48</f>
        <v>240.1603776153591</v>
      </c>
      <c r="J21" s="58">
        <f>FinalDataCompilation!F48</f>
        <v>1590.7668027043671</v>
      </c>
      <c r="K21" s="42">
        <f>FinalDataCompilation!L48</f>
        <v>355.3</v>
      </c>
      <c r="L21" s="64">
        <f>FinalDataCompilation!M48</f>
        <v>325.35000000000002</v>
      </c>
      <c r="M21" s="6">
        <f>Prices!C49</f>
        <v>5.0532113268292935</v>
      </c>
      <c r="N21" s="81">
        <f>Prices!D49</f>
        <v>3.0587712620351182</v>
      </c>
      <c r="O21" s="42">
        <f>Wages!B47</f>
        <v>3522</v>
      </c>
      <c r="P21" s="64">
        <f>Wages!C47</f>
        <v>5591.6254912970244</v>
      </c>
      <c r="Q21" s="6">
        <f t="shared" si="2"/>
        <v>3.0170453738652969</v>
      </c>
      <c r="R21" s="81">
        <f t="shared" si="3"/>
        <v>7.53517177603237</v>
      </c>
      <c r="S21" s="4"/>
      <c r="T21" s="75">
        <f t="shared" si="4"/>
        <v>1995</v>
      </c>
      <c r="U21" s="6">
        <f t="shared" si="5"/>
        <v>0.62987051001211503</v>
      </c>
      <c r="V21" s="81">
        <f t="shared" si="6"/>
        <v>0.64063205745871743</v>
      </c>
    </row>
    <row r="22" spans="1:22">
      <c r="A22" s="75">
        <v>1996</v>
      </c>
      <c r="B22" s="4">
        <v>0.58689999999999998</v>
      </c>
      <c r="C22" s="6">
        <v>0.88790000000000002</v>
      </c>
      <c r="D22" s="81">
        <f t="shared" si="0"/>
        <v>0.49931234185386009</v>
      </c>
      <c r="E22" s="4">
        <v>0.22539999999999999</v>
      </c>
      <c r="F22" s="18">
        <f t="shared" si="1"/>
        <v>0.77459999999999996</v>
      </c>
      <c r="I22" s="36">
        <f>FinalDataCompilation!C49</f>
        <v>252.41050939713764</v>
      </c>
      <c r="J22" s="58">
        <f>FinalDataCompilation!F49</f>
        <v>1761.7654471047265</v>
      </c>
      <c r="K22" s="42">
        <f>FinalDataCompilation!L49</f>
        <v>348.2</v>
      </c>
      <c r="L22" s="64">
        <f>FinalDataCompilation!M49</f>
        <v>341.3</v>
      </c>
      <c r="M22" s="6">
        <f>Prices!C50</f>
        <v>5.5526174508178432</v>
      </c>
      <c r="N22" s="81">
        <f>Prices!D50</f>
        <v>3.2445409663041005</v>
      </c>
      <c r="O22" s="42">
        <f>Wages!B48</f>
        <v>4050</v>
      </c>
      <c r="P22" s="64">
        <f>Wages!C48</f>
        <v>6303.668822041046</v>
      </c>
      <c r="Q22" s="6">
        <f t="shared" si="2"/>
        <v>3.5738841971069091</v>
      </c>
      <c r="R22" s="81">
        <f t="shared" si="3"/>
        <v>8.3625237224688096</v>
      </c>
      <c r="S22" s="4"/>
      <c r="T22" s="75">
        <f t="shared" si="4"/>
        <v>1996</v>
      </c>
      <c r="U22" s="6">
        <f t="shared" si="5"/>
        <v>0.64248299114937679</v>
      </c>
      <c r="V22" s="81">
        <f t="shared" si="6"/>
        <v>0.68379055236723507</v>
      </c>
    </row>
    <row r="23" spans="1:22">
      <c r="A23" s="75">
        <v>1997</v>
      </c>
      <c r="B23" s="4">
        <v>0.58679999999999999</v>
      </c>
      <c r="C23" s="6">
        <v>0.88759999999999994</v>
      </c>
      <c r="D23" s="81">
        <f t="shared" si="0"/>
        <v>0.50587411167512686</v>
      </c>
      <c r="E23" s="4">
        <v>0.21199999999999999</v>
      </c>
      <c r="F23" s="18">
        <f t="shared" si="1"/>
        <v>0.78800000000000003</v>
      </c>
      <c r="I23" s="36">
        <f>FinalDataCompilation!C50</f>
        <v>261.24372523723423</v>
      </c>
      <c r="J23" s="58">
        <f>FinalDataCompilation!F50</f>
        <v>1940.1908498452194</v>
      </c>
      <c r="K23" s="42">
        <f>FinalDataCompilation!L50</f>
        <v>348.4</v>
      </c>
      <c r="L23" s="64">
        <f>FinalDataCompilation!M50</f>
        <v>349.78999999999996</v>
      </c>
      <c r="M23" s="6">
        <f>Prices!C51</f>
        <v>5.5281272895729989</v>
      </c>
      <c r="N23" s="81">
        <f>Prices!D51</f>
        <v>3.3260207022676576</v>
      </c>
      <c r="O23" s="42">
        <f>Wages!B49</f>
        <v>4311</v>
      </c>
      <c r="P23" s="64">
        <f>Wages!C49</f>
        <v>6564.0031303358001</v>
      </c>
      <c r="Q23" s="6">
        <f t="shared" si="2"/>
        <v>3.6792817790328618</v>
      </c>
      <c r="R23" s="81">
        <f t="shared" si="3"/>
        <v>9.3326389669122385</v>
      </c>
      <c r="S23" s="4"/>
      <c r="T23" s="75">
        <f t="shared" si="4"/>
        <v>1997</v>
      </c>
      <c r="U23" s="6">
        <f t="shared" si="5"/>
        <v>0.65676385498302747</v>
      </c>
      <c r="V23" s="81">
        <f t="shared" si="6"/>
        <v>0.63078094709585453</v>
      </c>
    </row>
    <row r="24" spans="1:22">
      <c r="A24" s="75">
        <v>1998</v>
      </c>
      <c r="B24" s="4">
        <v>0.58579999999999999</v>
      </c>
      <c r="C24" s="6">
        <v>0.88890000000000002</v>
      </c>
      <c r="D24" s="81">
        <f t="shared" si="0"/>
        <v>0.50936080641121961</v>
      </c>
      <c r="E24" s="4">
        <v>0.2014</v>
      </c>
      <c r="F24" s="18">
        <f t="shared" si="1"/>
        <v>0.79859999999999998</v>
      </c>
      <c r="I24" s="36">
        <f>FinalDataCompilation!C51</f>
        <v>270.38543977377992</v>
      </c>
      <c r="J24" s="58">
        <f>FinalDataCompilation!F51</f>
        <v>2103.4951415113119</v>
      </c>
      <c r="K24" s="42">
        <f>FinalDataCompilation!L51</f>
        <v>351.77</v>
      </c>
      <c r="L24" s="64">
        <f>FinalDataCompilation!M51</f>
        <v>354.6</v>
      </c>
      <c r="M24" s="6">
        <f>Prices!C52</f>
        <v>5.4801861855218714</v>
      </c>
      <c r="N24" s="81">
        <f>Prices!D52</f>
        <v>3.3080492023757095</v>
      </c>
      <c r="O24" s="42">
        <f>Wages!B50</f>
        <v>4528</v>
      </c>
      <c r="P24" s="64">
        <f>Wages!C50</f>
        <v>7615.6504961411247</v>
      </c>
      <c r="Q24" s="6">
        <f t="shared" si="2"/>
        <v>3.744317970002931</v>
      </c>
      <c r="R24" s="81">
        <f t="shared" si="3"/>
        <v>9.9954020313089522</v>
      </c>
      <c r="S24" s="4"/>
      <c r="T24" s="75">
        <f t="shared" si="4"/>
        <v>1998</v>
      </c>
      <c r="U24" s="6">
        <f t="shared" si="5"/>
        <v>0.59456510015715036</v>
      </c>
      <c r="V24" s="81">
        <f t="shared" si="6"/>
        <v>0.59936646202315358</v>
      </c>
    </row>
    <row r="25" spans="1:22">
      <c r="A25" s="75">
        <v>1999</v>
      </c>
      <c r="B25" s="4">
        <v>0.57720000000000005</v>
      </c>
      <c r="C25" s="6">
        <v>0.88660000000000005</v>
      </c>
      <c r="D25" s="81">
        <f t="shared" si="0"/>
        <v>0.50645501904410861</v>
      </c>
      <c r="E25" s="4">
        <v>0.18609999999999999</v>
      </c>
      <c r="F25" s="18">
        <f t="shared" si="1"/>
        <v>0.81390000000000007</v>
      </c>
      <c r="I25" s="36">
        <f>FinalDataCompilation!C52</f>
        <v>277.95623208744581</v>
      </c>
      <c r="J25" s="58">
        <f>FinalDataCompilation!F52</f>
        <v>2276.8101497202952</v>
      </c>
      <c r="K25" s="42">
        <f>FinalDataCompilation!L52</f>
        <v>357.68</v>
      </c>
      <c r="L25" s="64">
        <f>FinalDataCompilation!M52</f>
        <v>356.26</v>
      </c>
      <c r="M25" s="6">
        <f>Prices!C53</f>
        <v>5.3137964780153215</v>
      </c>
      <c r="N25" s="81">
        <f>Prices!D53</f>
        <v>3.289998785758224</v>
      </c>
      <c r="O25" s="42">
        <f>Wages!B51</f>
        <v>4832</v>
      </c>
      <c r="P25" s="64">
        <f>Wages!C51</f>
        <v>8508.0549138084243</v>
      </c>
      <c r="Q25" s="6">
        <f t="shared" si="2"/>
        <v>3.6611236978487889</v>
      </c>
      <c r="R25" s="81">
        <f t="shared" si="3"/>
        <v>10.648694610981481</v>
      </c>
      <c r="S25" s="4"/>
      <c r="T25" s="75">
        <f t="shared" si="4"/>
        <v>1999</v>
      </c>
      <c r="U25" s="6">
        <f t="shared" si="5"/>
        <v>0.56793239453094602</v>
      </c>
      <c r="V25" s="81">
        <f t="shared" si="6"/>
        <v>0.55009539953537601</v>
      </c>
    </row>
    <row r="26" spans="1:22">
      <c r="A26" s="75">
        <v>2000</v>
      </c>
      <c r="B26" s="4">
        <v>0.56679999999999997</v>
      </c>
      <c r="C26" s="6">
        <v>0.87919999999999998</v>
      </c>
      <c r="D26" s="81">
        <f t="shared" si="0"/>
        <v>0.50263297974927668</v>
      </c>
      <c r="E26" s="4">
        <v>0.1704</v>
      </c>
      <c r="F26" s="18">
        <f t="shared" si="1"/>
        <v>0.8296</v>
      </c>
      <c r="I26" s="36">
        <f>FinalDataCompilation!C53</f>
        <v>284.62714541871026</v>
      </c>
      <c r="J26" s="58">
        <f>FinalDataCompilation!F53</f>
        <v>2485.5387293415406</v>
      </c>
      <c r="K26" s="42">
        <f>FinalDataCompilation!L53</f>
        <v>360.43</v>
      </c>
      <c r="L26" s="64">
        <f>FinalDataCompilation!M53</f>
        <v>360.41999999999996</v>
      </c>
      <c r="M26" s="6">
        <f>Prices!C54</f>
        <v>5.2506314818239872</v>
      </c>
      <c r="N26" s="81">
        <f>Prices!D54</f>
        <v>3.3904050985208309</v>
      </c>
      <c r="O26" s="42">
        <f>Wages!B52</f>
        <v>5184</v>
      </c>
      <c r="P26" s="64">
        <f>Wages!C52</f>
        <v>9563.139154667906</v>
      </c>
      <c r="Q26" s="6">
        <f t="shared" si="2"/>
        <v>3.645479018058595</v>
      </c>
      <c r="R26" s="81">
        <f t="shared" si="3"/>
        <v>11.752066107116992</v>
      </c>
      <c r="S26" s="4"/>
      <c r="T26" s="75">
        <f t="shared" si="4"/>
        <v>2000</v>
      </c>
      <c r="U26" s="6">
        <f t="shared" si="5"/>
        <v>0.54208141449762492</v>
      </c>
      <c r="V26" s="81">
        <f t="shared" si="6"/>
        <v>0.49631838144285606</v>
      </c>
    </row>
    <row r="27" spans="1:22">
      <c r="A27" s="75">
        <v>2001</v>
      </c>
      <c r="B27" s="4">
        <v>0.56040000000000001</v>
      </c>
      <c r="C27" s="6">
        <v>0.87639999999999996</v>
      </c>
      <c r="D27" s="81">
        <f t="shared" si="0"/>
        <v>0.4994916030534351</v>
      </c>
      <c r="E27" s="4">
        <v>0.16159999999999999</v>
      </c>
      <c r="F27" s="18">
        <f t="shared" si="1"/>
        <v>0.83840000000000003</v>
      </c>
      <c r="I27" s="36">
        <f>FinalDataCompilation!C54</f>
        <v>292.59690784768327</v>
      </c>
      <c r="J27" s="58">
        <f>FinalDataCompilation!F54</f>
        <v>2707.5015323260695</v>
      </c>
      <c r="K27" s="42">
        <f>FinalDataCompilation!L54</f>
        <v>363.98500000000001</v>
      </c>
      <c r="L27" s="64">
        <f>FinalDataCompilation!M54</f>
        <v>363.98500000000001</v>
      </c>
      <c r="M27" s="6">
        <f>Prices!C55</f>
        <v>5.3935187371246922</v>
      </c>
      <c r="N27" s="81">
        <f>Prices!D55</f>
        <v>3.4671781488706293</v>
      </c>
      <c r="O27" s="42">
        <f>Wages!B53</f>
        <v>5741</v>
      </c>
      <c r="P27" s="64">
        <f>Wages!C53</f>
        <v>11097.315850590285</v>
      </c>
      <c r="Q27" s="6">
        <f t="shared" si="2"/>
        <v>3.7998005946822939</v>
      </c>
      <c r="R27" s="81">
        <f t="shared" si="3"/>
        <v>12.882186230115002</v>
      </c>
      <c r="S27" s="4"/>
      <c r="T27" s="75">
        <f t="shared" si="4"/>
        <v>2001</v>
      </c>
      <c r="U27" s="6">
        <f t="shared" si="5"/>
        <v>0.51733230605440739</v>
      </c>
      <c r="V27" s="81">
        <f t="shared" si="6"/>
        <v>0.47194481145436729</v>
      </c>
    </row>
    <row r="28" spans="1:22">
      <c r="A28" s="75">
        <v>2002</v>
      </c>
      <c r="B28" s="4">
        <v>0.55400000000000005</v>
      </c>
      <c r="C28" s="6">
        <v>0.87119999999999997</v>
      </c>
      <c r="D28" s="81">
        <f t="shared" si="0"/>
        <v>0.49758398115429925</v>
      </c>
      <c r="E28" s="4">
        <v>0.151</v>
      </c>
      <c r="F28" s="18">
        <f t="shared" si="1"/>
        <v>0.84899999999999998</v>
      </c>
      <c r="I28" s="36">
        <f>FinalDataCompilation!C55</f>
        <v>301.08229211349175</v>
      </c>
      <c r="J28" s="58">
        <f>FinalDataCompilation!F55</f>
        <v>2971.487127551773</v>
      </c>
      <c r="K28" s="42">
        <f>FinalDataCompilation!L55</f>
        <v>366.4</v>
      </c>
      <c r="L28" s="64">
        <f>FinalDataCompilation!M55</f>
        <v>366.4</v>
      </c>
      <c r="M28" s="6">
        <f>Prices!C56</f>
        <v>5.492524831553049</v>
      </c>
      <c r="N28" s="81">
        <f>Prices!D56</f>
        <v>3.4930546612203415</v>
      </c>
      <c r="O28" s="42">
        <f>Wages!B54</f>
        <v>6398</v>
      </c>
      <c r="P28" s="64">
        <f>Wages!C54</f>
        <v>12677.758293838862</v>
      </c>
      <c r="Q28" s="6">
        <f t="shared" si="2"/>
        <v>3.9320555474414229</v>
      </c>
      <c r="R28" s="81">
        <f t="shared" si="3"/>
        <v>14.0958140050107</v>
      </c>
      <c r="S28" s="4"/>
      <c r="T28" s="75">
        <f t="shared" si="4"/>
        <v>2002</v>
      </c>
      <c r="U28" s="6">
        <f t="shared" si="5"/>
        <v>0.50466335228281645</v>
      </c>
      <c r="V28" s="81">
        <f t="shared" si="6"/>
        <v>0.4463232044399767</v>
      </c>
    </row>
    <row r="29" spans="1:22">
      <c r="A29" s="75">
        <v>2003</v>
      </c>
      <c r="B29" s="4">
        <v>0.53620000000000001</v>
      </c>
      <c r="C29" s="6">
        <v>0.86070000000000002</v>
      </c>
      <c r="D29" s="81">
        <f t="shared" si="0"/>
        <v>0.48398767123287678</v>
      </c>
      <c r="E29" s="4">
        <v>0.1386</v>
      </c>
      <c r="F29" s="18">
        <f t="shared" si="1"/>
        <v>0.86139999999999994</v>
      </c>
      <c r="I29" s="36">
        <f>FinalDataCompilation!C56</f>
        <v>308.60920348562053</v>
      </c>
      <c r="J29" s="58">
        <f>FinalDataCompilation!F56</f>
        <v>3292.0476957326496</v>
      </c>
      <c r="K29" s="42">
        <f>FinalDataCompilation!L56</f>
        <v>362.04376000000002</v>
      </c>
      <c r="L29" s="64">
        <f>FinalDataCompilation!M56</f>
        <v>375.31624000000005</v>
      </c>
      <c r="M29" s="6">
        <f>Prices!C57</f>
        <v>5.632274574047325</v>
      </c>
      <c r="N29" s="81">
        <f>Prices!D57</f>
        <v>3.5977922981491792</v>
      </c>
      <c r="O29" s="42">
        <f>Wages!B55</f>
        <v>6884</v>
      </c>
      <c r="P29" s="64">
        <f>Wages!C55</f>
        <v>14293.648834265323</v>
      </c>
      <c r="Q29" s="6">
        <f t="shared" si="2"/>
        <v>4.1322199353273366</v>
      </c>
      <c r="R29" s="81">
        <f t="shared" si="3"/>
        <v>15.273520372333756</v>
      </c>
      <c r="S29" s="4"/>
      <c r="T29" s="75">
        <f t="shared" si="4"/>
        <v>2003</v>
      </c>
      <c r="U29" s="6">
        <f t="shared" si="5"/>
        <v>0.48161250355454321</v>
      </c>
      <c r="V29" s="81">
        <f t="shared" si="6"/>
        <v>0.43287675240213858</v>
      </c>
    </row>
    <row r="30" spans="1:22">
      <c r="A30" s="75">
        <v>2004</v>
      </c>
      <c r="B30" s="4">
        <v>0.54659999999999997</v>
      </c>
      <c r="C30" s="6">
        <v>0.86539999999999995</v>
      </c>
      <c r="D30" s="81">
        <f t="shared" si="0"/>
        <v>0.49370826629357584</v>
      </c>
      <c r="E30" s="4">
        <v>0.14230000000000001</v>
      </c>
      <c r="F30" s="18">
        <f t="shared" si="1"/>
        <v>0.85770000000000002</v>
      </c>
      <c r="I30" s="36">
        <f>FinalDataCompilation!C57</f>
        <v>328.0516660381976</v>
      </c>
      <c r="J30" s="58">
        <f>FinalDataCompilation!F57</f>
        <v>3635.7329172085028</v>
      </c>
      <c r="K30" s="42">
        <f>FinalDataCompilation!L57</f>
        <v>348.29816</v>
      </c>
      <c r="L30" s="64">
        <f>FinalDataCompilation!M57</f>
        <v>394.34183999999999</v>
      </c>
      <c r="M30" s="6">
        <f>Prices!C58</f>
        <v>6.5272444123597895</v>
      </c>
      <c r="N30" s="81">
        <f>Prices!D58</f>
        <v>3.808464676293422</v>
      </c>
      <c r="O30" s="42">
        <f>Wages!B56</f>
        <v>7497</v>
      </c>
      <c r="P30" s="64">
        <f>Wages!C56</f>
        <v>16283.995768312654</v>
      </c>
      <c r="Q30" s="6">
        <f t="shared" si="2"/>
        <v>5.320320968447021</v>
      </c>
      <c r="R30" s="81">
        <f t="shared" si="3"/>
        <v>17.335622624026016</v>
      </c>
      <c r="S30" s="4"/>
      <c r="T30" s="75">
        <f t="shared" si="4"/>
        <v>2004</v>
      </c>
      <c r="U30" s="6">
        <f t="shared" si="5"/>
        <v>0.46039068706886788</v>
      </c>
      <c r="V30" s="81">
        <f t="shared" si="6"/>
        <v>0.49104169686512777</v>
      </c>
    </row>
    <row r="31" spans="1:22">
      <c r="A31" s="75">
        <v>2005</v>
      </c>
      <c r="B31" s="4">
        <v>0.54500000000000004</v>
      </c>
      <c r="C31" s="6">
        <f>C30+(C30-C26)/4</f>
        <v>0.86194999999999999</v>
      </c>
      <c r="D31" s="81">
        <f t="shared" si="0"/>
        <v>0.49340348837209302</v>
      </c>
      <c r="E31" s="4">
        <v>0.14000000000000001</v>
      </c>
      <c r="F31" s="18">
        <f t="shared" si="1"/>
        <v>0.86</v>
      </c>
      <c r="I31" s="36">
        <f>FinalDataCompilation!C58</f>
        <v>345.21113189827764</v>
      </c>
      <c r="J31" s="58">
        <f>FinalDataCompilation!F58</f>
        <v>4066.8788838905416</v>
      </c>
      <c r="K31" s="42">
        <f>FinalDataCompilation!L58</f>
        <v>334.41856000000001</v>
      </c>
      <c r="L31" s="64">
        <f>FinalDataCompilation!M58</f>
        <v>412.05144000000001</v>
      </c>
      <c r="M31" s="6">
        <f>Prices!C59</f>
        <v>6.4945761965191888</v>
      </c>
      <c r="N31" s="81">
        <f>Prices!D59</f>
        <v>3.9961202091346637</v>
      </c>
      <c r="O31" s="42">
        <f>Wages!B57</f>
        <v>8207</v>
      </c>
      <c r="P31" s="64">
        <f>Wages!C57</f>
        <v>18596.613735015955</v>
      </c>
      <c r="Q31" s="6">
        <f t="shared" si="2"/>
        <v>5.7786622249674178</v>
      </c>
      <c r="R31" s="81">
        <f t="shared" si="3"/>
        <v>19.460346204834867</v>
      </c>
      <c r="S31" s="4"/>
      <c r="T31" s="75">
        <f t="shared" si="4"/>
        <v>2005</v>
      </c>
      <c r="U31" s="6">
        <f t="shared" si="5"/>
        <v>0.4413169040849016</v>
      </c>
      <c r="V31" s="81">
        <f t="shared" si="6"/>
        <v>0.47511279926000299</v>
      </c>
    </row>
    <row r="32" spans="1:22">
      <c r="A32" s="75">
        <v>2006</v>
      </c>
      <c r="B32" s="4">
        <v>0.54</v>
      </c>
      <c r="C32" s="6">
        <f>C31+(C31-C27)/4</f>
        <v>0.85833749999999998</v>
      </c>
      <c r="D32" s="81">
        <f t="shared" si="0"/>
        <v>0.49243232758620692</v>
      </c>
      <c r="E32" s="4">
        <v>0.13</v>
      </c>
      <c r="F32" s="18">
        <f t="shared" si="1"/>
        <v>0.87</v>
      </c>
      <c r="I32" s="36">
        <f>FinalDataCompilation!C59</f>
        <v>362.47168849319149</v>
      </c>
      <c r="J32" s="58">
        <f>FinalDataCompilation!F59</f>
        <v>4608.9184276639835</v>
      </c>
      <c r="K32" s="42">
        <f>FinalDataCompilation!L59</f>
        <v>319.40628000000004</v>
      </c>
      <c r="L32" s="64">
        <f>FinalDataCompilation!M59</f>
        <v>430.37372000000005</v>
      </c>
      <c r="M32" s="6">
        <f>Prices!C60</f>
        <v>6.6322421207391908</v>
      </c>
      <c r="N32" s="81">
        <f>Prices!D60</f>
        <v>4.1717906046084616</v>
      </c>
      <c r="O32" s="42">
        <f>Wages!B58</f>
        <v>9269</v>
      </c>
      <c r="P32" s="64">
        <f>Wages!C58</f>
        <v>21289.065269321931</v>
      </c>
      <c r="Q32" s="6">
        <f t="shared" si="2"/>
        <v>6.4602466488761561</v>
      </c>
      <c r="R32" s="81">
        <f t="shared" si="3"/>
        <v>21.999982503722087</v>
      </c>
      <c r="S32" s="4"/>
      <c r="T32" s="75">
        <f t="shared" si="4"/>
        <v>2006</v>
      </c>
      <c r="U32" s="6">
        <f t="shared" si="5"/>
        <v>0.43538783327217556</v>
      </c>
      <c r="V32" s="81">
        <f t="shared" si="6"/>
        <v>0.46983649357235074</v>
      </c>
    </row>
    <row r="33" spans="1:22">
      <c r="A33" s="76">
        <v>2007</v>
      </c>
      <c r="B33" s="20">
        <v>0.54300000000000004</v>
      </c>
      <c r="C33" s="66">
        <f>C32+(C32-C28)/4</f>
        <v>0.85512187500000003</v>
      </c>
      <c r="D33" s="82">
        <f t="shared" si="0"/>
        <v>0.49673184744230114</v>
      </c>
      <c r="E33" s="20">
        <v>0.12909999999999999</v>
      </c>
      <c r="F33" s="21">
        <f t="shared" si="1"/>
        <v>0.87090000000000001</v>
      </c>
      <c r="I33" s="37">
        <f>FinalDataCompilation!C60</f>
        <v>376.04262851037669</v>
      </c>
      <c r="J33" s="59">
        <f>FinalDataCompilation!F60</f>
        <v>5299.415392725562</v>
      </c>
      <c r="K33" s="44">
        <f>FinalDataCompilation!L60</f>
        <v>307.30967999999996</v>
      </c>
      <c r="L33" s="67">
        <f>FinalDataCompilation!M60</f>
        <v>445.90032000000008</v>
      </c>
      <c r="M33" s="66">
        <f>Prices!C61</f>
        <v>7.6127007497529107</v>
      </c>
      <c r="N33" s="82">
        <f>Prices!D61</f>
        <v>4.4756503928570766</v>
      </c>
      <c r="O33" s="44">
        <f>Wages!B59</f>
        <v>10847</v>
      </c>
      <c r="P33" s="67">
        <f>Wages!C59</f>
        <v>25205.393153104196</v>
      </c>
      <c r="Q33" s="66">
        <f t="shared" si="2"/>
        <v>7.9657672728125597</v>
      </c>
      <c r="R33" s="82">
        <f t="shared" si="3"/>
        <v>26.42216127904743</v>
      </c>
      <c r="S33" s="4"/>
      <c r="T33" s="76">
        <f t="shared" si="4"/>
        <v>2007</v>
      </c>
      <c r="U33" s="66">
        <f t="shared" si="5"/>
        <v>0.43034440820313596</v>
      </c>
      <c r="V33" s="82">
        <f t="shared" si="6"/>
        <v>0.48236885324770779</v>
      </c>
    </row>
  </sheetData>
  <mergeCells count="7">
    <mergeCell ref="O2:P2"/>
    <mergeCell ref="Q2:R2"/>
    <mergeCell ref="B2:D2"/>
    <mergeCell ref="E2:F2"/>
    <mergeCell ref="I2:J2"/>
    <mergeCell ref="K2:L2"/>
    <mergeCell ref="M2:N2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2"/>
  <sheetViews>
    <sheetView view="pageBreakPreview" zoomScaleNormal="100" zoomScaleSheetLayoutView="100" workbookViewId="0">
      <selection activeCell="F15" sqref="F15"/>
    </sheetView>
  </sheetViews>
  <sheetFormatPr defaultRowHeight="15"/>
  <cols>
    <col min="1" max="1" width="12.7109375" style="46" customWidth="1"/>
    <col min="2" max="2" width="14.42578125" style="46" customWidth="1"/>
    <col min="3" max="3" width="12.7109375" style="46" customWidth="1"/>
    <col min="4" max="4" width="14.42578125" style="46" customWidth="1"/>
    <col min="5" max="6" width="12.7109375" style="46" customWidth="1"/>
  </cols>
  <sheetData>
    <row r="1" spans="1:6">
      <c r="A1" s="46" t="s">
        <v>115</v>
      </c>
      <c r="B1" s="46" t="s">
        <v>225</v>
      </c>
    </row>
    <row r="2" spans="1:6" s="45" customFormat="1" ht="37.15" customHeight="1">
      <c r="A2" s="101"/>
      <c r="B2" s="116" t="s">
        <v>219</v>
      </c>
      <c r="C2" s="107" t="s">
        <v>136</v>
      </c>
      <c r="D2" s="108" t="s">
        <v>219</v>
      </c>
      <c r="E2" s="107" t="s">
        <v>223</v>
      </c>
      <c r="F2" s="108" t="s">
        <v>222</v>
      </c>
    </row>
    <row r="3" spans="1:6">
      <c r="A3" s="102"/>
      <c r="B3" s="117" t="s">
        <v>220</v>
      </c>
      <c r="C3" s="87" t="s">
        <v>224</v>
      </c>
      <c r="D3" s="88" t="s">
        <v>221</v>
      </c>
      <c r="F3" s="86" t="s">
        <v>221</v>
      </c>
    </row>
    <row r="4" spans="1:6">
      <c r="A4" s="96">
        <v>1952</v>
      </c>
      <c r="B4" s="46">
        <v>11.292</v>
      </c>
      <c r="C4" s="115">
        <v>0.87804850296424708</v>
      </c>
      <c r="D4" s="115">
        <f>B4/$C$4</f>
        <v>12.860337398080837</v>
      </c>
      <c r="E4" s="118">
        <f>D4/$D$27*$F$27</f>
        <v>25.031666221882649</v>
      </c>
      <c r="F4" s="119">
        <f>FinalDataCompilation!O5</f>
        <v>22.91460557219942</v>
      </c>
    </row>
    <row r="5" spans="1:6">
      <c r="A5" s="96">
        <v>1953</v>
      </c>
      <c r="B5" s="46">
        <v>12.023999999999999</v>
      </c>
      <c r="C5" s="115">
        <v>0.9218447369465641</v>
      </c>
      <c r="D5" s="115">
        <f t="shared" ref="D5:D32" si="0">B5/$C$4</f>
        <v>13.694004328243356</v>
      </c>
      <c r="E5" s="120">
        <f t="shared" ref="E5:E32" si="1">D5/$D$27*$F$27</f>
        <v>26.654335339347941</v>
      </c>
      <c r="F5" s="109">
        <f>FinalDataCompilation!O6</f>
        <v>19.647187934022465</v>
      </c>
    </row>
    <row r="6" spans="1:6">
      <c r="A6" s="96">
        <v>1954</v>
      </c>
      <c r="B6" s="46">
        <v>12.166</v>
      </c>
      <c r="C6" s="115">
        <v>0.9223495506448518</v>
      </c>
      <c r="D6" s="115">
        <f t="shared" si="0"/>
        <v>13.855726601580896</v>
      </c>
      <c r="E6" s="120">
        <f t="shared" si="1"/>
        <v>26.969115414047494</v>
      </c>
      <c r="F6" s="109">
        <f>FinalDataCompilation!O7</f>
        <v>17.347368578517774</v>
      </c>
    </row>
    <row r="7" spans="1:6">
      <c r="A7" s="96">
        <v>1955</v>
      </c>
      <c r="B7" s="46">
        <v>11.885</v>
      </c>
      <c r="C7" s="115">
        <v>0.91485724755137121</v>
      </c>
      <c r="D7" s="115">
        <f t="shared" si="0"/>
        <v>13.535698722652388</v>
      </c>
      <c r="E7" s="120">
        <f t="shared" si="1"/>
        <v>26.346205547916689</v>
      </c>
      <c r="F7" s="109">
        <f>FinalDataCompilation!O8</f>
        <v>16.174565428528016</v>
      </c>
    </row>
    <row r="8" spans="1:6">
      <c r="A8" s="96">
        <v>1956</v>
      </c>
      <c r="B8" s="46">
        <v>12.43</v>
      </c>
      <c r="C8" s="115">
        <v>0.8985849326893558</v>
      </c>
      <c r="D8" s="115">
        <f t="shared" si="0"/>
        <v>14.156393363278854</v>
      </c>
      <c r="E8" s="120">
        <f t="shared" si="1"/>
        <v>27.55434034165793</v>
      </c>
      <c r="F8" s="109">
        <f>FinalDataCompilation!O9</f>
        <v>14.955166459655214</v>
      </c>
    </row>
    <row r="9" spans="1:6">
      <c r="A9" s="96">
        <v>1957</v>
      </c>
      <c r="B9" s="46">
        <v>13.084</v>
      </c>
      <c r="C9" s="115">
        <v>0.88881188521076404</v>
      </c>
      <c r="D9" s="115">
        <f t="shared" si="0"/>
        <v>14.901226932030612</v>
      </c>
      <c r="E9" s="120">
        <f t="shared" si="1"/>
        <v>29.004102094147413</v>
      </c>
      <c r="F9" s="109">
        <f>FinalDataCompilation!O10</f>
        <v>14.633716415053366</v>
      </c>
    </row>
    <row r="10" spans="1:6">
      <c r="A10" s="96">
        <v>1958</v>
      </c>
      <c r="B10" s="46">
        <v>15.532</v>
      </c>
      <c r="C10" s="115">
        <v>0.89679454664637637</v>
      </c>
      <c r="D10" s="115">
        <f t="shared" si="0"/>
        <v>17.689227813229859</v>
      </c>
      <c r="E10" s="120">
        <f t="shared" si="1"/>
        <v>34.430733241080524</v>
      </c>
      <c r="F10" s="109">
        <f>FinalDataCompilation!O11</f>
        <v>14.169061250479603</v>
      </c>
    </row>
    <row r="11" spans="1:6">
      <c r="A11" s="96">
        <v>1959</v>
      </c>
      <c r="B11" s="46">
        <v>14.013999999999999</v>
      </c>
      <c r="C11" s="115">
        <v>0.90737151351343182</v>
      </c>
      <c r="D11" s="115">
        <f t="shared" si="0"/>
        <v>15.9603939334666</v>
      </c>
      <c r="E11" s="120">
        <f t="shared" si="1"/>
        <v>31.065689907320529</v>
      </c>
      <c r="F11" s="109">
        <f>FinalDataCompilation!O12</f>
        <v>17.456203414440068</v>
      </c>
    </row>
    <row r="12" spans="1:6">
      <c r="A12" s="96">
        <v>1960</v>
      </c>
      <c r="B12" s="46">
        <v>12.455</v>
      </c>
      <c r="C12" s="115">
        <v>0.92109095023311149</v>
      </c>
      <c r="D12" s="115">
        <f t="shared" si="0"/>
        <v>14.18486559450025</v>
      </c>
      <c r="E12" s="120">
        <f t="shared" si="1"/>
        <v>27.609759368893762</v>
      </c>
      <c r="F12" s="109">
        <f>FinalDataCompilation!O13</f>
        <v>22.60719211059925</v>
      </c>
    </row>
    <row r="13" spans="1:6">
      <c r="A13" s="96">
        <v>1961</v>
      </c>
      <c r="B13" s="46">
        <v>11.887</v>
      </c>
      <c r="C13" s="115">
        <v>1.0616851311338964</v>
      </c>
      <c r="D13" s="115">
        <f t="shared" si="0"/>
        <v>13.5379765011501</v>
      </c>
      <c r="E13" s="120">
        <f t="shared" si="1"/>
        <v>26.350639070095561</v>
      </c>
      <c r="F13" s="109">
        <f>FinalDataCompilation!O14</f>
        <v>28.66236404701948</v>
      </c>
    </row>
    <row r="14" spans="1:6">
      <c r="A14" s="96">
        <v>1962</v>
      </c>
      <c r="B14" s="46">
        <v>12.603999999999999</v>
      </c>
      <c r="C14" s="115">
        <v>1.0606065141964964</v>
      </c>
      <c r="D14" s="115">
        <f t="shared" si="0"/>
        <v>14.35456009257978</v>
      </c>
      <c r="E14" s="120">
        <f t="shared" si="1"/>
        <v>27.94005677121935</v>
      </c>
      <c r="F14" s="109">
        <f>FinalDataCompilation!O15</f>
        <v>28.063828436877426</v>
      </c>
    </row>
    <row r="15" spans="1:6">
      <c r="A15" s="96">
        <v>1963</v>
      </c>
      <c r="B15" s="46">
        <v>14.132</v>
      </c>
      <c r="C15" s="115">
        <v>1.0334953662446951</v>
      </c>
      <c r="D15" s="115">
        <f t="shared" si="0"/>
        <v>16.094782864831597</v>
      </c>
      <c r="E15" s="120">
        <f t="shared" si="1"/>
        <v>31.327267715873674</v>
      </c>
      <c r="F15" s="109">
        <f>FinalDataCompilation!O16</f>
        <v>26.740937353647627</v>
      </c>
    </row>
    <row r="16" spans="1:6">
      <c r="A16" s="96">
        <v>1964</v>
      </c>
      <c r="B16" s="46">
        <v>15.308</v>
      </c>
      <c r="C16" s="115">
        <v>1.0288557103297535</v>
      </c>
      <c r="D16" s="115">
        <f t="shared" si="0"/>
        <v>17.434116621486137</v>
      </c>
      <c r="E16" s="120">
        <f t="shared" si="1"/>
        <v>33.934178757047427</v>
      </c>
      <c r="F16" s="109">
        <f>FinalDataCompilation!O17</f>
        <v>25.616818096812342</v>
      </c>
    </row>
    <row r="17" spans="1:6">
      <c r="A17" s="96">
        <v>1965</v>
      </c>
      <c r="B17" s="46">
        <v>17.103000000000002</v>
      </c>
      <c r="C17" s="115">
        <v>1.0371681380113424</v>
      </c>
      <c r="D17" s="115">
        <f t="shared" si="0"/>
        <v>19.478422823182481</v>
      </c>
      <c r="E17" s="120">
        <f t="shared" si="1"/>
        <v>37.913264912580495</v>
      </c>
      <c r="F17" s="109">
        <f>FinalDataCompilation!O18</f>
        <v>26.42899058731388</v>
      </c>
    </row>
    <row r="18" spans="1:6">
      <c r="A18" s="96">
        <v>1966</v>
      </c>
      <c r="B18" s="46">
        <v>18.106000000000002</v>
      </c>
      <c r="C18" s="115">
        <v>1.0216933875730307</v>
      </c>
      <c r="D18" s="115">
        <f t="shared" si="0"/>
        <v>20.620728739784951</v>
      </c>
      <c r="E18" s="120">
        <f t="shared" si="1"/>
        <v>40.136676285282256</v>
      </c>
      <c r="F18" s="109">
        <f>FinalDataCompilation!O19</f>
        <v>28.606342189615777</v>
      </c>
    </row>
    <row r="19" spans="1:6">
      <c r="A19" s="96">
        <v>1967</v>
      </c>
      <c r="B19" s="46">
        <v>18.542000000000002</v>
      </c>
      <c r="C19" s="115">
        <v>1.0297949498950323</v>
      </c>
      <c r="D19" s="115">
        <f t="shared" si="0"/>
        <v>21.117284452286125</v>
      </c>
      <c r="E19" s="120">
        <f t="shared" si="1"/>
        <v>41.103184120275252</v>
      </c>
      <c r="F19" s="109">
        <f>FinalDataCompilation!O20</f>
        <v>31.387414070244205</v>
      </c>
    </row>
    <row r="20" spans="1:6">
      <c r="A20" s="96">
        <v>1968</v>
      </c>
      <c r="B20" s="46">
        <v>18.399000000000001</v>
      </c>
      <c r="C20" s="115">
        <v>1.0434343337909602</v>
      </c>
      <c r="D20" s="115">
        <f t="shared" si="0"/>
        <v>20.954423289699729</v>
      </c>
      <c r="E20" s="120">
        <f t="shared" si="1"/>
        <v>40.78618728448626</v>
      </c>
      <c r="F20" s="109">
        <f>FinalDataCompilation!O21</f>
        <v>33.228423106975484</v>
      </c>
    </row>
    <row r="21" spans="1:6">
      <c r="A21" s="96">
        <v>1969</v>
      </c>
      <c r="B21" s="46">
        <v>18.518999999999998</v>
      </c>
      <c r="C21" s="115">
        <v>1.0039212355710414</v>
      </c>
      <c r="D21" s="115">
        <f t="shared" si="0"/>
        <v>21.091089999562435</v>
      </c>
      <c r="E21" s="120">
        <f t="shared" si="1"/>
        <v>41.052198615218273</v>
      </c>
      <c r="F21" s="109">
        <f>FinalDataCompilation!O22</f>
        <v>33.198286386712205</v>
      </c>
    </row>
    <row r="22" spans="1:6">
      <c r="A22" s="96">
        <v>1970</v>
      </c>
      <c r="B22" s="46">
        <v>19.893000000000001</v>
      </c>
      <c r="C22" s="115">
        <v>0.97715480686389111</v>
      </c>
      <c r="D22" s="115">
        <f t="shared" si="0"/>
        <v>22.655923827490447</v>
      </c>
      <c r="E22" s="120">
        <f t="shared" si="1"/>
        <v>44.09802835209986</v>
      </c>
      <c r="F22" s="109">
        <f>FinalDataCompilation!O23</f>
        <v>34.767493524543951</v>
      </c>
    </row>
    <row r="23" spans="1:6">
      <c r="A23" s="96">
        <v>1971</v>
      </c>
      <c r="B23" s="46">
        <v>21.468</v>
      </c>
      <c r="C23" s="115">
        <v>0.98301500967643973</v>
      </c>
      <c r="D23" s="115">
        <f t="shared" si="0"/>
        <v>24.449674394438489</v>
      </c>
      <c r="E23" s="120">
        <f t="shared" si="1"/>
        <v>47.589427067957551</v>
      </c>
      <c r="F23" s="109">
        <f>FinalDataCompilation!O24</f>
        <v>39.943952647010875</v>
      </c>
    </row>
    <row r="24" spans="1:6">
      <c r="A24" s="96">
        <v>1972</v>
      </c>
      <c r="B24" s="46">
        <v>23.696999999999999</v>
      </c>
      <c r="C24" s="115">
        <v>0.98428671795141365</v>
      </c>
      <c r="D24" s="115">
        <f t="shared" si="0"/>
        <v>26.988258530138292</v>
      </c>
      <c r="E24" s="120">
        <f t="shared" si="1"/>
        <v>52.530587536304736</v>
      </c>
      <c r="F24" s="109">
        <f>FinalDataCompilation!O25</f>
        <v>45.675638939860143</v>
      </c>
    </row>
    <row r="25" spans="1:6">
      <c r="A25" s="96">
        <v>1973</v>
      </c>
      <c r="B25" s="46">
        <v>23.28</v>
      </c>
      <c r="C25" s="115">
        <v>0.9858476101770538</v>
      </c>
      <c r="D25" s="115">
        <f t="shared" si="0"/>
        <v>26.513341713365385</v>
      </c>
      <c r="E25" s="120">
        <f t="shared" si="1"/>
        <v>51.60619816201099</v>
      </c>
      <c r="F25" s="109">
        <f>FinalDataCompilation!O26</f>
        <v>50.827291168711604</v>
      </c>
    </row>
    <row r="26" spans="1:6">
      <c r="A26" s="96">
        <v>1974</v>
      </c>
      <c r="B26" s="46">
        <v>23.77</v>
      </c>
      <c r="C26" s="115">
        <v>0.98841800492162013</v>
      </c>
      <c r="D26" s="115">
        <f t="shared" si="0"/>
        <v>27.071397445304775</v>
      </c>
      <c r="E26" s="120">
        <f t="shared" si="1"/>
        <v>52.692411095833378</v>
      </c>
      <c r="F26" s="109">
        <f>FinalDataCompilation!O27</f>
        <v>54.741264203792099</v>
      </c>
    </row>
    <row r="27" spans="1:6">
      <c r="A27" s="96">
        <v>1975</v>
      </c>
      <c r="B27" s="46">
        <v>26.06</v>
      </c>
      <c r="C27" s="115">
        <v>0.97728062358513679</v>
      </c>
      <c r="D27" s="115">
        <f t="shared" si="0"/>
        <v>29.679453825184787</v>
      </c>
      <c r="E27" s="120">
        <f t="shared" si="1"/>
        <v>57.768793990636006</v>
      </c>
      <c r="F27" s="109">
        <f>FinalDataCompilation!O28</f>
        <v>57.768793990636006</v>
      </c>
    </row>
    <row r="28" spans="1:6">
      <c r="A28" s="96">
        <v>1976</v>
      </c>
      <c r="B28" s="46">
        <v>27.19</v>
      </c>
      <c r="C28" s="115">
        <v>0.97634311731877421</v>
      </c>
      <c r="D28" s="115">
        <f t="shared" si="0"/>
        <v>30.966398676391957</v>
      </c>
      <c r="E28" s="120">
        <f t="shared" si="1"/>
        <v>60.273734021695823</v>
      </c>
      <c r="F28" s="109">
        <f>FinalDataCompilation!O29</f>
        <v>61.199812514817765</v>
      </c>
    </row>
    <row r="29" spans="1:6">
      <c r="A29" s="96">
        <v>1977</v>
      </c>
      <c r="B29" s="46">
        <v>28.85</v>
      </c>
      <c r="C29" s="115">
        <v>0.9867575596968029</v>
      </c>
      <c r="D29" s="115">
        <f t="shared" si="0"/>
        <v>32.856954829492757</v>
      </c>
      <c r="E29" s="120">
        <f t="shared" si="1"/>
        <v>63.953557430155378</v>
      </c>
      <c r="F29" s="109">
        <f>FinalDataCompilation!O30</f>
        <v>63.034897204959918</v>
      </c>
    </row>
    <row r="30" spans="1:6">
      <c r="A30" s="96">
        <v>1978</v>
      </c>
      <c r="B30" s="46">
        <v>30.1</v>
      </c>
      <c r="C30" s="115">
        <v>1</v>
      </c>
      <c r="D30" s="115">
        <f t="shared" si="0"/>
        <v>34.280566390562633</v>
      </c>
      <c r="E30" s="120">
        <f t="shared" si="1"/>
        <v>66.724508791947201</v>
      </c>
      <c r="F30" s="109">
        <f>FinalDataCompilation!O31</f>
        <v>63.912705753300216</v>
      </c>
    </row>
    <row r="31" spans="1:6">
      <c r="A31" s="96">
        <v>1979</v>
      </c>
      <c r="B31" s="46">
        <v>31.92</v>
      </c>
      <c r="C31" s="115">
        <v>1.0360380501111117</v>
      </c>
      <c r="D31" s="115">
        <f t="shared" si="0"/>
        <v>36.35334482348037</v>
      </c>
      <c r="E31" s="120">
        <f t="shared" si="1"/>
        <v>70.759013974716098</v>
      </c>
      <c r="F31" s="109">
        <f>FinalDataCompilation!O32</f>
        <v>71.759126004923601</v>
      </c>
    </row>
    <row r="32" spans="1:6">
      <c r="A32" s="102">
        <v>1980</v>
      </c>
      <c r="B32" s="87">
        <v>31.832999999999998</v>
      </c>
      <c r="C32" s="115">
        <v>1.0749337198435396</v>
      </c>
      <c r="D32" s="115">
        <f t="shared" si="0"/>
        <v>36.254261458829902</v>
      </c>
      <c r="E32" s="121">
        <f t="shared" si="1"/>
        <v>70.56615575993537</v>
      </c>
      <c r="F32" s="110">
        <f>FinalDataCompilation!O33</f>
        <v>79.535435365204577</v>
      </c>
    </row>
  </sheetData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31E8A-4613-4076-87FD-5F85ACE554C8}">
  <dimension ref="A1:AD29"/>
  <sheetViews>
    <sheetView tabSelected="1" topLeftCell="E1" zoomScale="145" zoomScaleNormal="145" workbookViewId="0">
      <selection activeCell="N4" sqref="N4"/>
    </sheetView>
  </sheetViews>
  <sheetFormatPr defaultColWidth="10.85546875" defaultRowHeight="15"/>
  <cols>
    <col min="20" max="20" width="16.28515625" customWidth="1"/>
  </cols>
  <sheetData>
    <row r="1" spans="1:30">
      <c r="B1" t="s">
        <v>268</v>
      </c>
      <c r="E1" t="s">
        <v>298</v>
      </c>
      <c r="G1" t="s">
        <v>297</v>
      </c>
      <c r="K1" t="s">
        <v>261</v>
      </c>
      <c r="P1" t="s">
        <v>267</v>
      </c>
      <c r="W1" t="s">
        <v>266</v>
      </c>
      <c r="AB1" t="s">
        <v>265</v>
      </c>
      <c r="AD1" t="s">
        <v>264</v>
      </c>
    </row>
    <row r="2" spans="1:30">
      <c r="A2" s="10"/>
      <c r="B2" s="77" t="s">
        <v>263</v>
      </c>
      <c r="C2" s="70" t="s">
        <v>262</v>
      </c>
      <c r="F2" t="s">
        <v>295</v>
      </c>
      <c r="G2" t="s">
        <v>296</v>
      </c>
      <c r="O2" s="10"/>
      <c r="P2" s="77" t="s">
        <v>260</v>
      </c>
      <c r="Q2" s="77" t="s">
        <v>259</v>
      </c>
      <c r="R2" s="77" t="s">
        <v>258</v>
      </c>
      <c r="S2" s="77" t="s">
        <v>257</v>
      </c>
      <c r="T2" s="70" t="s">
        <v>256</v>
      </c>
      <c r="AA2" s="10" t="s">
        <v>253</v>
      </c>
      <c r="AB2" s="77">
        <v>3</v>
      </c>
      <c r="AC2" s="77" t="s">
        <v>252</v>
      </c>
      <c r="AD2" s="70" t="s">
        <v>251</v>
      </c>
    </row>
    <row r="3" spans="1:30">
      <c r="A3" s="24">
        <v>1964</v>
      </c>
      <c r="B3" s="26">
        <f>ThirdFront!AG20</f>
        <v>1</v>
      </c>
      <c r="C3" s="27"/>
      <c r="E3" s="68">
        <v>1952</v>
      </c>
      <c r="F3" s="106">
        <v>16.399999999999999</v>
      </c>
      <c r="G3" s="27">
        <v>139</v>
      </c>
      <c r="J3" s="10"/>
      <c r="K3" s="77" t="s">
        <v>250</v>
      </c>
      <c r="L3" s="70" t="s">
        <v>249</v>
      </c>
      <c r="O3" s="24">
        <v>1952</v>
      </c>
      <c r="P3" s="152">
        <v>164</v>
      </c>
      <c r="Q3" s="152">
        <v>33</v>
      </c>
      <c r="R3" s="152">
        <v>8</v>
      </c>
      <c r="S3" s="152">
        <v>25</v>
      </c>
      <c r="T3" s="28">
        <v>139</v>
      </c>
      <c r="V3" s="10"/>
      <c r="W3" s="77" t="s">
        <v>255</v>
      </c>
      <c r="X3" s="70" t="s">
        <v>254</v>
      </c>
      <c r="AA3" s="24">
        <v>1952</v>
      </c>
      <c r="AB3" s="152">
        <v>0.65</v>
      </c>
      <c r="AC3" s="153">
        <v>345.9756428144309</v>
      </c>
      <c r="AD3" s="28">
        <v>0.38400000000000001</v>
      </c>
    </row>
    <row r="4" spans="1:30">
      <c r="A4" s="24">
        <v>1965</v>
      </c>
      <c r="B4" s="17">
        <f>ThirdFront!AG21</f>
        <v>0.95483923644544655</v>
      </c>
      <c r="C4" s="28"/>
      <c r="E4" s="24">
        <v>1953</v>
      </c>
      <c r="F4" s="152">
        <v>20.78</v>
      </c>
      <c r="G4" s="28">
        <v>132.6</v>
      </c>
      <c r="J4" s="24">
        <v>1953</v>
      </c>
      <c r="K4" s="152" t="s">
        <v>248</v>
      </c>
      <c r="L4" s="28" t="s">
        <v>248</v>
      </c>
      <c r="O4" s="24">
        <v>1953</v>
      </c>
      <c r="P4" s="152">
        <v>166.83</v>
      </c>
      <c r="Q4" s="152">
        <v>47.46</v>
      </c>
      <c r="R4" s="152">
        <v>11.58</v>
      </c>
      <c r="S4" s="152">
        <v>35.880000000000003</v>
      </c>
      <c r="T4" s="28">
        <v>130.94999999999999</v>
      </c>
      <c r="V4" s="24">
        <v>1953</v>
      </c>
      <c r="W4" s="152" t="s">
        <v>248</v>
      </c>
      <c r="X4" s="28" t="s">
        <v>248</v>
      </c>
      <c r="AA4" s="24">
        <v>1953</v>
      </c>
      <c r="AB4" s="152">
        <v>0.79</v>
      </c>
      <c r="AC4" s="153">
        <v>381.39047239386088</v>
      </c>
      <c r="AD4" s="28">
        <v>0.57699999999999996</v>
      </c>
    </row>
    <row r="5" spans="1:30">
      <c r="A5" s="24">
        <v>1966</v>
      </c>
      <c r="B5" s="17">
        <f>ThirdFront!AG22</f>
        <v>0.94809487785816116</v>
      </c>
      <c r="C5" s="28"/>
      <c r="E5" s="24">
        <v>1954</v>
      </c>
      <c r="F5" s="152">
        <v>21.79</v>
      </c>
      <c r="G5" s="28">
        <v>131.5</v>
      </c>
      <c r="J5" s="24">
        <v>1954</v>
      </c>
      <c r="K5" s="152" t="s">
        <v>248</v>
      </c>
      <c r="L5" s="28" t="s">
        <v>248</v>
      </c>
      <c r="O5" s="24">
        <v>1954</v>
      </c>
      <c r="P5" s="152">
        <v>169.52</v>
      </c>
      <c r="Q5" s="152">
        <v>51.81</v>
      </c>
      <c r="R5" s="152">
        <v>20.23</v>
      </c>
      <c r="S5" s="152">
        <v>31.58</v>
      </c>
      <c r="T5" s="28">
        <v>137.94</v>
      </c>
      <c r="V5" s="24">
        <v>1954</v>
      </c>
      <c r="W5" s="152" t="s">
        <v>248</v>
      </c>
      <c r="X5" s="28" t="s">
        <v>248</v>
      </c>
      <c r="AA5" s="24">
        <v>1954</v>
      </c>
      <c r="AB5" s="152">
        <v>0.41</v>
      </c>
      <c r="AC5" s="153">
        <v>395.51604544548536</v>
      </c>
      <c r="AD5" s="28">
        <v>0.48699999999999999</v>
      </c>
    </row>
    <row r="6" spans="1:30">
      <c r="A6" s="24">
        <v>1967</v>
      </c>
      <c r="B6" s="17">
        <f>ThirdFront!AG23</f>
        <v>0.94217177406818109</v>
      </c>
      <c r="C6" s="28"/>
      <c r="E6" s="24">
        <v>1955</v>
      </c>
      <c r="F6" s="152">
        <v>21.22</v>
      </c>
      <c r="G6" s="28">
        <v>132.80000000000001</v>
      </c>
      <c r="J6" s="24">
        <v>1955</v>
      </c>
      <c r="K6" s="152" t="s">
        <v>248</v>
      </c>
      <c r="L6" s="28" t="s">
        <v>248</v>
      </c>
      <c r="O6" s="24">
        <v>1955</v>
      </c>
      <c r="P6" s="152">
        <v>183.94</v>
      </c>
      <c r="Q6" s="152">
        <v>50.75</v>
      </c>
      <c r="R6" s="152">
        <v>14.57</v>
      </c>
      <c r="S6" s="152">
        <v>36.18</v>
      </c>
      <c r="T6" s="28">
        <v>147.76</v>
      </c>
      <c r="V6" s="24">
        <v>1955</v>
      </c>
      <c r="W6" s="152" t="s">
        <v>248</v>
      </c>
      <c r="X6" s="28" t="s">
        <v>248</v>
      </c>
      <c r="AA6" s="24">
        <v>1955</v>
      </c>
      <c r="AB6" s="152">
        <v>0.62</v>
      </c>
      <c r="AC6" s="153">
        <v>424.77616105242174</v>
      </c>
      <c r="AD6" s="28">
        <v>0.57099999999999995</v>
      </c>
    </row>
    <row r="7" spans="1:30">
      <c r="A7" s="24">
        <v>1968</v>
      </c>
      <c r="B7" s="17">
        <f>ThirdFront!AG24</f>
        <v>0.93914719923866319</v>
      </c>
      <c r="C7" s="28"/>
      <c r="E7" s="24">
        <v>1956</v>
      </c>
      <c r="F7" s="152">
        <v>24.29</v>
      </c>
      <c r="G7" s="28">
        <v>128.6</v>
      </c>
      <c r="J7" s="24">
        <v>1956</v>
      </c>
      <c r="K7" s="152">
        <v>2.56</v>
      </c>
      <c r="L7" s="28" t="s">
        <v>248</v>
      </c>
      <c r="O7" s="24">
        <v>1956</v>
      </c>
      <c r="P7" s="152">
        <v>192.75</v>
      </c>
      <c r="Q7" s="152">
        <v>45.44</v>
      </c>
      <c r="R7" s="152">
        <v>16.739999999999998</v>
      </c>
      <c r="S7" s="152">
        <v>28.7</v>
      </c>
      <c r="T7" s="28">
        <v>164.05</v>
      </c>
      <c r="V7" s="24">
        <v>1956</v>
      </c>
      <c r="W7" s="152" t="s">
        <v>248</v>
      </c>
      <c r="X7" s="28" t="s">
        <v>248</v>
      </c>
      <c r="AA7" s="24">
        <v>1956</v>
      </c>
      <c r="AB7" s="152">
        <v>1.21</v>
      </c>
      <c r="AC7" s="153">
        <v>447.88156268686464</v>
      </c>
      <c r="AD7" s="28">
        <v>1.363</v>
      </c>
    </row>
    <row r="8" spans="1:30">
      <c r="A8" s="24">
        <v>1969</v>
      </c>
      <c r="B8" s="17">
        <f>ThirdFront!AG25</f>
        <v>0.9372834226821114</v>
      </c>
      <c r="C8" s="28"/>
      <c r="E8" s="24">
        <v>1957</v>
      </c>
      <c r="F8" s="152">
        <v>35.68</v>
      </c>
      <c r="G8" s="28">
        <v>125.9</v>
      </c>
      <c r="J8" s="24">
        <v>1957</v>
      </c>
      <c r="K8" s="152">
        <v>-12.14</v>
      </c>
      <c r="L8" s="28">
        <v>-1.78</v>
      </c>
      <c r="O8" s="24">
        <v>1957</v>
      </c>
      <c r="P8" s="152">
        <v>195.05</v>
      </c>
      <c r="Q8" s="152">
        <v>48.04</v>
      </c>
      <c r="R8" s="152">
        <v>14.17</v>
      </c>
      <c r="S8" s="152">
        <v>33.869999999999997</v>
      </c>
      <c r="T8" s="28">
        <v>161.18</v>
      </c>
      <c r="V8" s="24">
        <v>1957</v>
      </c>
      <c r="W8" s="152" t="s">
        <v>248</v>
      </c>
      <c r="X8" s="28" t="s">
        <v>248</v>
      </c>
      <c r="AA8" s="24">
        <v>1957</v>
      </c>
      <c r="AB8" s="152">
        <v>1.27</v>
      </c>
      <c r="AC8" s="153">
        <v>433.85688658560895</v>
      </c>
      <c r="AD8" s="28">
        <v>1.093</v>
      </c>
    </row>
    <row r="9" spans="1:30">
      <c r="A9" s="24">
        <v>1970</v>
      </c>
      <c r="B9" s="17">
        <f>ThirdFront!AG26</f>
        <v>0.93426822233980555</v>
      </c>
      <c r="C9" s="28"/>
      <c r="E9" s="24">
        <v>1958</v>
      </c>
      <c r="F9" s="152">
        <v>26.47</v>
      </c>
      <c r="G9" s="28">
        <v>133</v>
      </c>
      <c r="J9" s="24">
        <v>1958</v>
      </c>
      <c r="K9" s="152">
        <v>-2.91</v>
      </c>
      <c r="L9" s="28">
        <v>-0.37</v>
      </c>
      <c r="O9" s="24">
        <v>1958</v>
      </c>
      <c r="P9" s="152">
        <v>197.65</v>
      </c>
      <c r="Q9" s="152">
        <v>58.76</v>
      </c>
      <c r="R9" s="152">
        <v>17.04</v>
      </c>
      <c r="S9" s="152">
        <v>41.72</v>
      </c>
      <c r="T9" s="28">
        <v>155.93</v>
      </c>
      <c r="V9" s="24">
        <v>1958</v>
      </c>
      <c r="W9" s="152" t="s">
        <v>248</v>
      </c>
      <c r="X9" s="28" t="s">
        <v>248</v>
      </c>
      <c r="AA9" s="24">
        <v>1958</v>
      </c>
      <c r="AB9" s="152">
        <v>2.8</v>
      </c>
      <c r="AC9" s="153">
        <v>449.89950169423958</v>
      </c>
      <c r="AD9" s="28">
        <v>3.0259999999999998</v>
      </c>
    </row>
    <row r="10" spans="1:30">
      <c r="A10" s="24">
        <v>1971</v>
      </c>
      <c r="B10" s="17">
        <f>ThirdFront!AG27</f>
        <v>0.93048190594103752</v>
      </c>
      <c r="C10" s="28"/>
      <c r="E10" s="24">
        <v>1959</v>
      </c>
      <c r="F10" s="152">
        <v>67.44</v>
      </c>
      <c r="G10" s="28">
        <v>132.30000000000001</v>
      </c>
      <c r="J10" s="24">
        <v>1959</v>
      </c>
      <c r="K10" s="152">
        <v>-8.31</v>
      </c>
      <c r="L10" s="28">
        <v>1.9</v>
      </c>
      <c r="O10" s="24">
        <v>1959</v>
      </c>
      <c r="P10" s="152">
        <v>169.68</v>
      </c>
      <c r="Q10" s="152">
        <v>67.41</v>
      </c>
      <c r="R10" s="152">
        <v>19.84</v>
      </c>
      <c r="S10" s="152">
        <v>47.57</v>
      </c>
      <c r="T10" s="28">
        <v>122.11</v>
      </c>
      <c r="V10" s="24">
        <v>1959</v>
      </c>
      <c r="W10" s="152" t="s">
        <v>248</v>
      </c>
      <c r="X10" s="28" t="s">
        <v>248</v>
      </c>
      <c r="AA10" s="24">
        <v>1959</v>
      </c>
      <c r="AB10" s="152">
        <v>3.63</v>
      </c>
      <c r="AC10" s="153">
        <v>387.24249551524815</v>
      </c>
      <c r="AD10" s="28">
        <v>2.9910000000000001</v>
      </c>
    </row>
    <row r="11" spans="1:30">
      <c r="A11" s="24">
        <v>1972</v>
      </c>
      <c r="B11" s="17">
        <f>ThirdFront!AG28</f>
        <v>0.93619678186573663</v>
      </c>
      <c r="C11" s="28">
        <v>0.98</v>
      </c>
      <c r="E11" s="24">
        <v>1960</v>
      </c>
      <c r="F11" s="152">
        <v>81.680000000000007</v>
      </c>
      <c r="G11" s="28">
        <v>146.69999999999999</v>
      </c>
      <c r="J11" s="24">
        <v>1960</v>
      </c>
      <c r="K11" s="152">
        <v>9.2100000000000009</v>
      </c>
      <c r="L11" s="28">
        <v>4.79</v>
      </c>
      <c r="O11" s="24">
        <v>1960</v>
      </c>
      <c r="P11" s="152">
        <v>143.85</v>
      </c>
      <c r="Q11" s="152">
        <v>51.05</v>
      </c>
      <c r="R11" s="152">
        <v>20.16</v>
      </c>
      <c r="S11" s="152">
        <v>30.89</v>
      </c>
      <c r="T11" s="28">
        <v>112.96</v>
      </c>
      <c r="V11" s="24">
        <v>1960</v>
      </c>
      <c r="W11" s="152" t="s">
        <v>248</v>
      </c>
      <c r="X11" s="28" t="s">
        <v>248</v>
      </c>
      <c r="AA11" s="24">
        <v>1960</v>
      </c>
      <c r="AB11" s="152">
        <v>4.99</v>
      </c>
      <c r="AC11" s="153">
        <v>343.75590990631849</v>
      </c>
      <c r="AD11" s="28">
        <v>4.5430000000000001</v>
      </c>
    </row>
    <row r="12" spans="1:30">
      <c r="A12" s="24">
        <v>1973</v>
      </c>
      <c r="B12" s="17">
        <f>ThirdFront!AG29</f>
        <v>0.94025772780621408</v>
      </c>
      <c r="C12" s="28">
        <v>0.96</v>
      </c>
      <c r="E12" s="24">
        <v>1961</v>
      </c>
      <c r="F12" s="152">
        <v>40.68</v>
      </c>
      <c r="G12" s="28">
        <v>412.8</v>
      </c>
      <c r="J12" s="24">
        <v>1961</v>
      </c>
      <c r="K12" s="152">
        <v>3.55</v>
      </c>
      <c r="L12" s="28">
        <v>7.12</v>
      </c>
      <c r="O12" s="24">
        <v>1961</v>
      </c>
      <c r="P12" s="152">
        <v>136.5</v>
      </c>
      <c r="Q12" s="152">
        <v>40.47</v>
      </c>
      <c r="R12" s="152">
        <v>14.67</v>
      </c>
      <c r="S12" s="152">
        <v>25.8</v>
      </c>
      <c r="T12" s="28">
        <v>110.7</v>
      </c>
      <c r="V12" s="24">
        <v>1961</v>
      </c>
      <c r="W12" s="152" t="s">
        <v>248</v>
      </c>
      <c r="X12" s="28" t="s">
        <v>248</v>
      </c>
      <c r="AA12" s="24">
        <v>1961</v>
      </c>
      <c r="AB12" s="152">
        <v>1.78</v>
      </c>
      <c r="AC12" s="153">
        <v>445.05644807653977</v>
      </c>
      <c r="AD12" s="28">
        <v>1.2350000000000001</v>
      </c>
    </row>
    <row r="13" spans="1:30">
      <c r="A13" s="24">
        <v>1974</v>
      </c>
      <c r="B13" s="17">
        <f>ThirdFront!AG30</f>
        <v>0.94364085049730073</v>
      </c>
      <c r="C13" s="28">
        <v>0.94</v>
      </c>
      <c r="E13" s="24">
        <v>1962</v>
      </c>
      <c r="F13" s="152">
        <v>37.26</v>
      </c>
      <c r="G13" s="28">
        <v>270</v>
      </c>
      <c r="J13" s="24">
        <v>1962</v>
      </c>
      <c r="K13" s="152">
        <v>-7</v>
      </c>
      <c r="L13" s="28">
        <v>0.36</v>
      </c>
      <c r="O13" s="24">
        <v>1962</v>
      </c>
      <c r="P13" s="152">
        <v>154.41</v>
      </c>
      <c r="Q13" s="152">
        <v>38.15</v>
      </c>
      <c r="R13" s="152">
        <v>12.43</v>
      </c>
      <c r="S13" s="152">
        <v>25.72</v>
      </c>
      <c r="T13" s="28">
        <v>128.69</v>
      </c>
      <c r="V13" s="24">
        <v>1962</v>
      </c>
      <c r="W13" s="152" t="s">
        <v>248</v>
      </c>
      <c r="X13" s="28" t="s">
        <v>248</v>
      </c>
      <c r="AA13" s="24">
        <v>1962</v>
      </c>
      <c r="AB13" s="152">
        <v>1.44</v>
      </c>
      <c r="AC13" s="153">
        <v>457.16408212078932</v>
      </c>
      <c r="AD13" s="28">
        <v>0.86699999999999999</v>
      </c>
    </row>
    <row r="14" spans="1:30">
      <c r="A14" s="24">
        <v>1975</v>
      </c>
      <c r="B14" s="17">
        <f>ThirdFront!AG31</f>
        <v>0.94619377432824692</v>
      </c>
      <c r="C14" s="28">
        <v>0.92</v>
      </c>
      <c r="E14" s="24">
        <v>1963</v>
      </c>
      <c r="F14" s="152">
        <v>38.54</v>
      </c>
      <c r="G14" s="28">
        <v>229</v>
      </c>
      <c r="J14" s="24">
        <v>1963</v>
      </c>
      <c r="K14" s="152">
        <v>-3.38</v>
      </c>
      <c r="L14" s="28">
        <v>-0.28000000000000003</v>
      </c>
      <c r="O14" s="24">
        <v>1963</v>
      </c>
      <c r="P14" s="152">
        <v>170</v>
      </c>
      <c r="Q14" s="152">
        <v>43.97</v>
      </c>
      <c r="R14" s="152">
        <v>13.34</v>
      </c>
      <c r="S14" s="152">
        <v>30.63</v>
      </c>
      <c r="T14" s="28">
        <v>139.37</v>
      </c>
      <c r="V14" s="24">
        <v>1963</v>
      </c>
      <c r="W14" s="152" t="s">
        <v>248</v>
      </c>
      <c r="X14" s="28" t="s">
        <v>248</v>
      </c>
      <c r="AA14" s="24">
        <v>1963</v>
      </c>
      <c r="AB14" s="152">
        <v>2.3199999999999998</v>
      </c>
      <c r="AC14" s="153">
        <v>501.96232808451265</v>
      </c>
      <c r="AD14" s="28">
        <v>1.8480000000000001</v>
      </c>
    </row>
    <row r="15" spans="1:30">
      <c r="A15" s="24">
        <v>1976</v>
      </c>
      <c r="B15" s="17">
        <f>ThirdFront!AG32</f>
        <v>0.94840400888403276</v>
      </c>
      <c r="C15" s="28">
        <v>0.9</v>
      </c>
      <c r="E15" s="24">
        <v>1964</v>
      </c>
      <c r="F15" s="152">
        <v>43.71</v>
      </c>
      <c r="G15" s="28">
        <v>136</v>
      </c>
      <c r="J15" s="24">
        <v>1964</v>
      </c>
      <c r="K15" s="152">
        <v>-3.57</v>
      </c>
      <c r="L15" s="28">
        <v>-0.39</v>
      </c>
      <c r="O15" s="24">
        <v>1964</v>
      </c>
      <c r="P15" s="152">
        <v>187.5</v>
      </c>
      <c r="Q15" s="152">
        <v>47.43</v>
      </c>
      <c r="R15" s="152">
        <v>15.58</v>
      </c>
      <c r="S15" s="152">
        <v>31.85</v>
      </c>
      <c r="T15" s="28">
        <v>155.65</v>
      </c>
      <c r="V15" s="24">
        <v>1964</v>
      </c>
      <c r="W15" s="152">
        <v>66.599999999999994</v>
      </c>
      <c r="X15" s="28">
        <v>94.9</v>
      </c>
      <c r="AA15" s="24">
        <v>1964</v>
      </c>
      <c r="AB15" s="152">
        <v>2.82</v>
      </c>
      <c r="AC15" s="153">
        <v>564.0139525612916</v>
      </c>
      <c r="AD15" s="28">
        <v>2.617</v>
      </c>
    </row>
    <row r="16" spans="1:30">
      <c r="A16" s="24">
        <v>1977</v>
      </c>
      <c r="B16" s="17">
        <f>ThirdFront!AG33</f>
        <v>0.95002492863179455</v>
      </c>
      <c r="C16" s="28">
        <v>0.9</v>
      </c>
      <c r="E16" s="24">
        <v>1965</v>
      </c>
      <c r="F16" s="152">
        <v>44.49</v>
      </c>
      <c r="G16" s="28">
        <v>140</v>
      </c>
      <c r="J16" s="24">
        <v>1965</v>
      </c>
      <c r="K16" s="152">
        <v>-3.57</v>
      </c>
      <c r="L16" s="28">
        <v>1.64</v>
      </c>
      <c r="O16" s="24">
        <v>1965</v>
      </c>
      <c r="P16" s="152">
        <v>194.53</v>
      </c>
      <c r="Q16" s="152">
        <v>48.68</v>
      </c>
      <c r="R16" s="152">
        <v>15.09</v>
      </c>
      <c r="S16" s="152">
        <v>33.590000000000003</v>
      </c>
      <c r="T16" s="28">
        <v>160.94</v>
      </c>
      <c r="V16" s="24">
        <v>1965</v>
      </c>
      <c r="W16" s="152">
        <v>73.599999999999994</v>
      </c>
      <c r="X16" s="28">
        <v>112.1</v>
      </c>
      <c r="AA16" s="24">
        <v>1965</v>
      </c>
      <c r="AB16" s="152">
        <v>2.42</v>
      </c>
      <c r="AC16" s="153">
        <v>656.94004385090693</v>
      </c>
      <c r="AD16" s="28">
        <v>2.351</v>
      </c>
    </row>
    <row r="17" spans="1:30">
      <c r="A17" s="25">
        <v>1978</v>
      </c>
      <c r="B17" s="19">
        <f>ThirdFront!AG34</f>
        <v>0.95132166465478496</v>
      </c>
      <c r="C17" s="30"/>
      <c r="E17" s="24">
        <v>1966</v>
      </c>
      <c r="F17" s="152">
        <v>49.02</v>
      </c>
      <c r="G17" s="28">
        <v>141</v>
      </c>
      <c r="J17" s="24">
        <v>1966</v>
      </c>
      <c r="K17" s="152">
        <v>-3.57</v>
      </c>
      <c r="L17" s="28">
        <v>3.02</v>
      </c>
      <c r="O17" s="24">
        <v>1966</v>
      </c>
      <c r="P17" s="152">
        <v>214</v>
      </c>
      <c r="Q17" s="152">
        <v>51.58</v>
      </c>
      <c r="R17" s="152">
        <v>13.34</v>
      </c>
      <c r="S17" s="152">
        <v>38.24</v>
      </c>
      <c r="T17" s="28">
        <v>175.76</v>
      </c>
      <c r="V17" s="24">
        <v>1966</v>
      </c>
      <c r="W17" s="152">
        <v>76.8</v>
      </c>
      <c r="X17" s="28">
        <v>119.4</v>
      </c>
      <c r="AA17" s="24">
        <v>1966</v>
      </c>
      <c r="AB17" s="152">
        <v>2.44</v>
      </c>
      <c r="AC17" s="153">
        <v>708.49838548933633</v>
      </c>
      <c r="AD17" s="28">
        <v>2.37</v>
      </c>
    </row>
    <row r="18" spans="1:30">
      <c r="E18" s="24">
        <v>1967</v>
      </c>
      <c r="F18" s="152">
        <v>38.39</v>
      </c>
      <c r="G18" s="28">
        <v>143</v>
      </c>
      <c r="J18" s="24">
        <v>1967</v>
      </c>
      <c r="K18" s="152">
        <v>2.94</v>
      </c>
      <c r="L18" s="28">
        <v>2.88</v>
      </c>
      <c r="O18" s="24">
        <v>1967</v>
      </c>
      <c r="P18" s="152">
        <v>217.82</v>
      </c>
      <c r="Q18" s="152">
        <v>49.36</v>
      </c>
      <c r="R18" s="152">
        <v>11.62</v>
      </c>
      <c r="S18" s="152">
        <v>37.74</v>
      </c>
      <c r="T18" s="28">
        <v>180.08</v>
      </c>
      <c r="V18" s="24">
        <v>1967</v>
      </c>
      <c r="W18" s="152">
        <v>74.5</v>
      </c>
      <c r="X18" s="28">
        <v>104.3</v>
      </c>
      <c r="AA18" s="24">
        <v>1967</v>
      </c>
      <c r="AB18" s="152">
        <v>2.31</v>
      </c>
      <c r="AC18" s="153">
        <v>720.60601953358582</v>
      </c>
      <c r="AD18" s="28">
        <v>2.2080000000000002</v>
      </c>
    </row>
    <row r="19" spans="1:30">
      <c r="E19" s="24">
        <v>1968</v>
      </c>
      <c r="F19" s="152">
        <v>32.65</v>
      </c>
      <c r="G19" s="28">
        <v>143</v>
      </c>
      <c r="J19" s="24">
        <v>1968</v>
      </c>
      <c r="K19" s="152">
        <v>-2.66</v>
      </c>
      <c r="L19" s="28">
        <v>0.99</v>
      </c>
      <c r="O19" s="24">
        <v>1968</v>
      </c>
      <c r="P19" s="152">
        <v>209.06</v>
      </c>
      <c r="Q19" s="152">
        <v>48.7</v>
      </c>
      <c r="R19" s="152">
        <v>10.83</v>
      </c>
      <c r="S19" s="152">
        <v>37.869999999999997</v>
      </c>
      <c r="T19" s="28">
        <v>171.19</v>
      </c>
      <c r="V19" s="24">
        <v>1968</v>
      </c>
      <c r="W19" s="152">
        <v>76.7</v>
      </c>
      <c r="X19" s="28">
        <v>100.1</v>
      </c>
      <c r="AA19" s="24">
        <v>1968</v>
      </c>
      <c r="AB19" s="152">
        <v>1.39</v>
      </c>
      <c r="AC19" s="153">
        <v>732.81455052820411</v>
      </c>
      <c r="AD19" s="28">
        <v>1.2230000000000001</v>
      </c>
    </row>
    <row r="20" spans="1:30">
      <c r="E20" s="24">
        <v>1969</v>
      </c>
      <c r="F20" s="152">
        <v>43.03</v>
      </c>
      <c r="G20" s="28">
        <v>142</v>
      </c>
      <c r="J20" s="24">
        <v>1969</v>
      </c>
      <c r="K20" s="152">
        <v>0.26</v>
      </c>
      <c r="L20" s="28">
        <v>2.65</v>
      </c>
      <c r="O20" s="24">
        <v>1969</v>
      </c>
      <c r="P20" s="152">
        <v>210.97</v>
      </c>
      <c r="Q20" s="152">
        <v>46.68</v>
      </c>
      <c r="R20" s="152">
        <v>12.85</v>
      </c>
      <c r="S20" s="152">
        <v>33.83</v>
      </c>
      <c r="T20" s="28">
        <v>177.14</v>
      </c>
      <c r="V20" s="24">
        <v>1969</v>
      </c>
      <c r="W20" s="152">
        <v>84.5</v>
      </c>
      <c r="X20" s="28">
        <v>121.1</v>
      </c>
      <c r="AA20" s="24">
        <v>1969</v>
      </c>
      <c r="AB20" s="152">
        <v>2</v>
      </c>
      <c r="AC20" s="153">
        <v>742.80334861470999</v>
      </c>
      <c r="AD20" s="28">
        <v>1.792</v>
      </c>
    </row>
    <row r="21" spans="1:30">
      <c r="E21" s="24">
        <v>1970</v>
      </c>
      <c r="F21" s="152">
        <v>53.15</v>
      </c>
      <c r="G21" s="28">
        <v>142</v>
      </c>
      <c r="J21" s="24">
        <v>1970</v>
      </c>
      <c r="K21" s="152">
        <v>-7.7</v>
      </c>
      <c r="L21" s="28">
        <v>-0.5</v>
      </c>
      <c r="O21" s="24">
        <v>1970</v>
      </c>
      <c r="P21" s="152">
        <v>239.96</v>
      </c>
      <c r="Q21" s="152">
        <v>54.44</v>
      </c>
      <c r="R21" s="152">
        <v>12.42</v>
      </c>
      <c r="S21" s="152">
        <v>42.02</v>
      </c>
      <c r="T21" s="28">
        <v>197.94</v>
      </c>
      <c r="V21" s="24">
        <v>1970</v>
      </c>
      <c r="W21" s="152">
        <v>89.1</v>
      </c>
      <c r="X21" s="28">
        <v>137.80000000000001</v>
      </c>
      <c r="AA21" s="24">
        <v>1970</v>
      </c>
      <c r="AB21" s="152">
        <v>2.63</v>
      </c>
      <c r="AC21" s="153">
        <v>800.41550727526408</v>
      </c>
      <c r="AD21" s="28">
        <v>2.2519999999999998</v>
      </c>
    </row>
    <row r="22" spans="1:30">
      <c r="E22" s="24">
        <v>1971</v>
      </c>
      <c r="F22" s="152">
        <v>55.43</v>
      </c>
      <c r="G22" s="28">
        <v>154</v>
      </c>
      <c r="J22" s="24">
        <v>1971</v>
      </c>
      <c r="K22" s="152">
        <v>-6.98</v>
      </c>
      <c r="L22" s="28">
        <v>2.0299999999999998</v>
      </c>
      <c r="O22" s="24">
        <v>1971</v>
      </c>
      <c r="P22" s="152">
        <v>250.14</v>
      </c>
      <c r="Q22" s="152">
        <v>53.02</v>
      </c>
      <c r="R22" s="152">
        <v>13.2</v>
      </c>
      <c r="S22" s="152">
        <v>39.82</v>
      </c>
      <c r="T22" s="28">
        <v>210.32</v>
      </c>
      <c r="V22" s="24">
        <v>1971</v>
      </c>
      <c r="W22" s="152">
        <v>91.4</v>
      </c>
      <c r="X22" s="28">
        <v>141.9</v>
      </c>
      <c r="AA22" s="24">
        <v>1971</v>
      </c>
      <c r="AB22" s="152">
        <v>3.21</v>
      </c>
      <c r="AC22" s="153">
        <v>833.71150089695027</v>
      </c>
      <c r="AD22" s="28">
        <v>3.327</v>
      </c>
    </row>
    <row r="23" spans="1:30">
      <c r="E23" s="24">
        <v>1972</v>
      </c>
      <c r="F23" s="152">
        <v>56.6</v>
      </c>
      <c r="G23" s="28">
        <v>167</v>
      </c>
      <c r="J23" s="24">
        <v>1972</v>
      </c>
      <c r="K23" s="152">
        <v>-2.06</v>
      </c>
      <c r="L23" s="28">
        <v>1.24</v>
      </c>
      <c r="O23" s="24">
        <v>1972</v>
      </c>
      <c r="P23" s="152">
        <v>240.48</v>
      </c>
      <c r="Q23" s="152">
        <v>48.3</v>
      </c>
      <c r="R23" s="152">
        <v>14.38</v>
      </c>
      <c r="S23" s="152">
        <v>33.92</v>
      </c>
      <c r="T23" s="28">
        <v>206.56</v>
      </c>
      <c r="V23" s="24">
        <v>1972</v>
      </c>
      <c r="W23" s="152">
        <v>93.1</v>
      </c>
      <c r="X23" s="28">
        <v>135.19999999999999</v>
      </c>
      <c r="AA23" s="24">
        <v>1972</v>
      </c>
      <c r="AB23" s="152">
        <v>3.58</v>
      </c>
      <c r="AC23" s="153">
        <v>834.82136735100653</v>
      </c>
      <c r="AD23" s="28">
        <v>3.1469999999999998</v>
      </c>
    </row>
    <row r="24" spans="1:30">
      <c r="E24" s="24">
        <v>1973</v>
      </c>
      <c r="F24" s="152">
        <v>54.63</v>
      </c>
      <c r="G24" s="28">
        <v>175</v>
      </c>
      <c r="J24" s="24">
        <v>1973</v>
      </c>
      <c r="K24" s="152">
        <v>-7.11</v>
      </c>
      <c r="L24" s="28">
        <v>0.16</v>
      </c>
      <c r="O24" s="24">
        <v>1973</v>
      </c>
      <c r="P24" s="152">
        <v>264.94</v>
      </c>
      <c r="Q24" s="152">
        <v>56.12</v>
      </c>
      <c r="R24" s="152">
        <v>15.12</v>
      </c>
      <c r="S24" s="152">
        <v>41</v>
      </c>
      <c r="T24" s="28">
        <v>223.94</v>
      </c>
      <c r="V24" s="24">
        <v>1973</v>
      </c>
      <c r="W24" s="152">
        <v>93.7</v>
      </c>
      <c r="X24" s="28">
        <v>139.30000000000001</v>
      </c>
      <c r="AA24" s="24">
        <v>1973</v>
      </c>
      <c r="AB24" s="152">
        <v>4.0199999999999996</v>
      </c>
      <c r="AC24" s="153">
        <v>915.63982459637236</v>
      </c>
      <c r="AD24" s="28">
        <v>3.7480000000000002</v>
      </c>
    </row>
    <row r="25" spans="1:30">
      <c r="E25" s="24">
        <v>1974</v>
      </c>
      <c r="F25" s="152">
        <v>50.43</v>
      </c>
      <c r="G25" s="28">
        <v>177</v>
      </c>
      <c r="J25" s="24">
        <v>1974</v>
      </c>
      <c r="K25" s="152">
        <v>-3.01</v>
      </c>
      <c r="L25" s="28">
        <v>-0.73</v>
      </c>
      <c r="O25" s="24">
        <v>1974</v>
      </c>
      <c r="P25" s="152">
        <v>275.27</v>
      </c>
      <c r="Q25" s="152">
        <v>58.07</v>
      </c>
      <c r="R25" s="152">
        <v>14.1</v>
      </c>
      <c r="S25" s="152">
        <v>43.97</v>
      </c>
      <c r="T25" s="28">
        <v>231.3</v>
      </c>
      <c r="V25" s="24">
        <v>1974</v>
      </c>
      <c r="W25" s="152">
        <v>93.4</v>
      </c>
      <c r="X25" s="28">
        <v>138.30000000000001</v>
      </c>
      <c r="AA25" s="24">
        <v>1974</v>
      </c>
      <c r="AB25" s="152">
        <v>3.98</v>
      </c>
      <c r="AC25" s="153">
        <v>953.67797488538974</v>
      </c>
      <c r="AD25" s="28">
        <v>3.6970000000000001</v>
      </c>
    </row>
    <row r="26" spans="1:30">
      <c r="E26" s="24">
        <v>1975</v>
      </c>
      <c r="F26" s="152">
        <v>54.01</v>
      </c>
      <c r="G26" s="28">
        <v>184</v>
      </c>
      <c r="J26" s="24">
        <v>1975</v>
      </c>
      <c r="K26" s="152">
        <v>-3.44</v>
      </c>
      <c r="L26" s="28">
        <v>0.3</v>
      </c>
      <c r="O26" s="24">
        <v>1975</v>
      </c>
      <c r="P26" s="152">
        <v>284.52</v>
      </c>
      <c r="Q26" s="152">
        <v>60.86</v>
      </c>
      <c r="R26" s="152">
        <v>16.920000000000002</v>
      </c>
      <c r="S26" s="152">
        <v>43.94</v>
      </c>
      <c r="T26" s="28">
        <v>240.58</v>
      </c>
      <c r="V26" s="24">
        <v>1975</v>
      </c>
      <c r="W26" s="152">
        <v>96.3</v>
      </c>
      <c r="X26" s="28">
        <v>145.1</v>
      </c>
      <c r="AA26" s="24">
        <v>1975</v>
      </c>
      <c r="AB26" s="152">
        <v>4.2</v>
      </c>
      <c r="AC26" s="153">
        <v>979.81028503089499</v>
      </c>
      <c r="AD26" s="28">
        <v>3.556</v>
      </c>
    </row>
    <row r="27" spans="1:30">
      <c r="E27" s="24">
        <v>1976</v>
      </c>
      <c r="F27" s="152">
        <v>48.27</v>
      </c>
      <c r="G27" s="28">
        <v>190</v>
      </c>
      <c r="J27" s="24">
        <v>1976</v>
      </c>
      <c r="K27" s="152">
        <v>0.77</v>
      </c>
      <c r="L27" s="28">
        <v>1.97</v>
      </c>
      <c r="O27" s="24">
        <v>1976</v>
      </c>
      <c r="P27" s="152">
        <v>286.31</v>
      </c>
      <c r="Q27" s="152">
        <v>58.25</v>
      </c>
      <c r="R27" s="152">
        <v>17.53</v>
      </c>
      <c r="S27" s="152">
        <v>40.72</v>
      </c>
      <c r="T27" s="28">
        <v>245.59</v>
      </c>
      <c r="V27" s="24">
        <v>1976</v>
      </c>
      <c r="W27" s="152">
        <v>98.5</v>
      </c>
      <c r="X27" s="28">
        <v>138.5</v>
      </c>
      <c r="AA27" s="24">
        <v>1976</v>
      </c>
      <c r="AB27" s="152">
        <v>4.45</v>
      </c>
      <c r="AC27" s="153">
        <v>975.67351006577633</v>
      </c>
      <c r="AD27" s="28">
        <v>3.9910000000000001</v>
      </c>
    </row>
    <row r="28" spans="1:30">
      <c r="E28" s="24">
        <v>1977</v>
      </c>
      <c r="F28" s="152">
        <v>57.09</v>
      </c>
      <c r="G28" s="28">
        <v>179</v>
      </c>
      <c r="J28" s="24">
        <v>1977</v>
      </c>
      <c r="K28" s="152">
        <v>-7.7</v>
      </c>
      <c r="L28" s="28">
        <v>-2.16</v>
      </c>
      <c r="O28" s="24">
        <v>1977</v>
      </c>
      <c r="P28" s="152">
        <v>283</v>
      </c>
      <c r="Q28" s="152">
        <v>48</v>
      </c>
      <c r="R28" s="152">
        <v>15</v>
      </c>
      <c r="S28" s="152">
        <v>33</v>
      </c>
      <c r="T28" s="28">
        <v>250</v>
      </c>
      <c r="V28" s="24">
        <v>1977</v>
      </c>
      <c r="W28" s="152">
        <v>96.6</v>
      </c>
      <c r="X28" s="28">
        <v>135.19999999999999</v>
      </c>
      <c r="AA28" s="24">
        <v>1977</v>
      </c>
      <c r="AB28" s="152">
        <v>4.4800000000000004</v>
      </c>
      <c r="AC28" s="153">
        <v>950.55016942395855</v>
      </c>
      <c r="AD28" s="28">
        <v>3.5979999999999999</v>
      </c>
    </row>
    <row r="29" spans="1:30">
      <c r="E29" s="25">
        <v>1978</v>
      </c>
      <c r="F29" s="29">
        <v>58.87</v>
      </c>
      <c r="G29" s="30">
        <v>169</v>
      </c>
      <c r="J29" s="25">
        <v>1978</v>
      </c>
      <c r="K29" s="29">
        <v>-8.5500000000000007</v>
      </c>
      <c r="L29" s="30">
        <v>7.0000000000000007E-2</v>
      </c>
      <c r="O29" s="25">
        <v>1978</v>
      </c>
      <c r="P29" s="29" t="s">
        <v>248</v>
      </c>
      <c r="Q29" s="29" t="s">
        <v>248</v>
      </c>
      <c r="R29" s="29" t="s">
        <v>248</v>
      </c>
      <c r="S29" s="29" t="s">
        <v>248</v>
      </c>
      <c r="T29" s="30" t="s">
        <v>248</v>
      </c>
      <c r="V29" s="25">
        <v>1978</v>
      </c>
      <c r="W29" s="29">
        <v>100</v>
      </c>
      <c r="X29" s="30">
        <v>135.4</v>
      </c>
      <c r="AA29" s="25">
        <v>1978</v>
      </c>
      <c r="AB29" s="29">
        <v>5.65</v>
      </c>
      <c r="AC29" s="154">
        <v>1027.5345425553119</v>
      </c>
      <c r="AD29" s="30">
        <v>5.1139999999999999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012AE-5C17-4E4A-9D6A-8E96BD8B5E10}">
  <dimension ref="A1:AG34"/>
  <sheetViews>
    <sheetView topLeftCell="Q1" workbookViewId="0">
      <selection activeCell="AG22" sqref="AG22"/>
    </sheetView>
  </sheetViews>
  <sheetFormatPr defaultRowHeight="15"/>
  <sheetData>
    <row r="1" spans="2:20">
      <c r="B1" s="5"/>
      <c r="T1">
        <f>1-AVERAGE(T2:T7)</f>
        <v>4.5322526971198873E-2</v>
      </c>
    </row>
    <row r="2" spans="2:20">
      <c r="B2" s="5">
        <v>334.4761929667265</v>
      </c>
      <c r="C2">
        <f t="shared" ref="C2:C15" si="0">B2/$B$2</f>
        <v>1</v>
      </c>
      <c r="D2">
        <v>1</v>
      </c>
      <c r="E2">
        <v>0.15</v>
      </c>
      <c r="F2">
        <v>0.85</v>
      </c>
      <c r="G2">
        <f>E2^0.3*0.15^0.7+F2^0.3*0.85^0.7</f>
        <v>1.0000000000000002</v>
      </c>
      <c r="J2">
        <v>1</v>
      </c>
      <c r="K2">
        <v>0.15</v>
      </c>
      <c r="L2">
        <v>0.85</v>
      </c>
      <c r="M2">
        <f>0.8*K2^0.3*0.15^0.7+L2^0.3*0.85^0.7</f>
        <v>0.97000000000000008</v>
      </c>
      <c r="N2">
        <f t="shared" ref="N2:N15" si="1">M2/G2</f>
        <v>0.96999999999999986</v>
      </c>
      <c r="P2">
        <v>1</v>
      </c>
      <c r="Q2">
        <v>0.15</v>
      </c>
      <c r="R2">
        <v>0.85</v>
      </c>
      <c r="S2">
        <f>0.8*Q2^0.3*0.15^0.7+R2^0.3*0.85^0.7</f>
        <v>0.97000000000000008</v>
      </c>
      <c r="T2">
        <f t="shared" ref="T2:T15" si="2">S2/G2</f>
        <v>0.96999999999999986</v>
      </c>
    </row>
    <row r="3" spans="2:20">
      <c r="B3" s="5">
        <v>347.71757695756133</v>
      </c>
      <c r="C3">
        <f t="shared" si="0"/>
        <v>1.0395884199511685</v>
      </c>
      <c r="D3">
        <v>2</v>
      </c>
      <c r="E3">
        <f>E2*0.95+E2*0.15</f>
        <v>0.16499999999999998</v>
      </c>
      <c r="F3">
        <f>F2*0.95+F2*0.15</f>
        <v>0.93500000000000005</v>
      </c>
      <c r="G3">
        <f>E3^0.3*(0.15*$C3)^0.7+F3^0.3*(0.85*$C3)^0.7</f>
        <v>1.0573549646707132</v>
      </c>
      <c r="J3">
        <v>2</v>
      </c>
      <c r="K3">
        <f t="shared" ref="K3:K15" si="3">K2*0.95+K2*0.15*2</f>
        <v>0.1875</v>
      </c>
      <c r="L3">
        <f>L2*0.95+L2*0.15*0.7/0.85</f>
        <v>0.91249999999999998</v>
      </c>
      <c r="M3">
        <f>0.8*K3^0.3*(0.15*$C3)^0.7+L3^0.3*(0.85*$C3)^0.7</f>
        <v>1.0240510539557139</v>
      </c>
      <c r="N3">
        <f t="shared" si="1"/>
        <v>0.96850262038030821</v>
      </c>
      <c r="P3">
        <v>2</v>
      </c>
      <c r="Q3">
        <f t="shared" ref="Q3:R15" si="4">Q2*0.95+Q2*0.15</f>
        <v>0.16499999999999998</v>
      </c>
      <c r="R3">
        <f>R2*0.95+R2*0.15*0.7/0.85</f>
        <v>0.91249999999999998</v>
      </c>
      <c r="S3">
        <f>0.8*Q3^0.3*(0.15*$C3)^0.7+R3^0.3*(0.85*$C3)^0.7</f>
        <v>1.0190905960872958</v>
      </c>
      <c r="T3">
        <f t="shared" si="2"/>
        <v>0.96381123665945623</v>
      </c>
    </row>
    <row r="4" spans="2:20">
      <c r="B4" s="5">
        <v>359.48899232914926</v>
      </c>
      <c r="C4">
        <f t="shared" si="0"/>
        <v>1.0747820020927799</v>
      </c>
      <c r="D4">
        <v>3</v>
      </c>
      <c r="E4">
        <f t="shared" ref="E4:F15" si="5">E3*0.95+E3*0.15</f>
        <v>0.18149999999999997</v>
      </c>
      <c r="F4">
        <f t="shared" si="5"/>
        <v>1.0285</v>
      </c>
      <c r="G4">
        <f t="shared" ref="G4:G15" si="6">E4^0.3*(0.15*$C4)^0.7+F4^0.3*(0.85*$C4)^0.7</f>
        <v>1.1136786161080503</v>
      </c>
      <c r="J4">
        <v>3</v>
      </c>
      <c r="K4">
        <f t="shared" si="3"/>
        <v>0.23437499999999997</v>
      </c>
      <c r="L4">
        <f t="shared" ref="L4:L15" si="7">L3*0.95+L3*0.15*0.7/0.85</f>
        <v>0.97959558823529402</v>
      </c>
      <c r="M4">
        <f t="shared" ref="M4:M15" si="8">0.8*K4^0.3*(0.15*$C4)^0.7+L4^0.3*(0.85*$C4)^0.7</f>
        <v>1.0771874990776107</v>
      </c>
      <c r="N4">
        <f t="shared" si="1"/>
        <v>0.96723370952567589</v>
      </c>
      <c r="P4">
        <v>3</v>
      </c>
      <c r="Q4">
        <f t="shared" si="4"/>
        <v>0.18149999999999997</v>
      </c>
      <c r="R4">
        <f t="shared" ref="R4:R8" si="9">R3*0.95+R3*0.15*0.7/0.85</f>
        <v>0.97959558823529402</v>
      </c>
      <c r="S4">
        <f t="shared" ref="S4:S15" si="10">0.8*Q4^0.3*(0.15*$C4)^0.7+R4^0.3*(0.85*$C4)^0.7</f>
        <v>1.0665338529252804</v>
      </c>
      <c r="T4">
        <f t="shared" si="2"/>
        <v>0.95766753307383612</v>
      </c>
    </row>
    <row r="5" spans="2:20">
      <c r="B5" s="5">
        <v>372.33371812113973</v>
      </c>
      <c r="C5">
        <f t="shared" si="0"/>
        <v>1.1131845134286711</v>
      </c>
      <c r="D5">
        <v>4</v>
      </c>
      <c r="E5">
        <f t="shared" si="5"/>
        <v>0.19964999999999997</v>
      </c>
      <c r="F5">
        <f t="shared" si="5"/>
        <v>1.1313499999999999</v>
      </c>
      <c r="G5">
        <f t="shared" si="6"/>
        <v>1.1744929810633133</v>
      </c>
      <c r="J5">
        <v>4</v>
      </c>
      <c r="K5">
        <f t="shared" si="3"/>
        <v>0.29296874999999994</v>
      </c>
      <c r="L5">
        <f t="shared" si="7"/>
        <v>1.0516246756055361</v>
      </c>
      <c r="M5">
        <f t="shared" si="8"/>
        <v>1.1347952471581624</v>
      </c>
      <c r="N5">
        <f t="shared" si="1"/>
        <v>0.96620010971099113</v>
      </c>
      <c r="P5">
        <v>4</v>
      </c>
      <c r="Q5">
        <f t="shared" si="4"/>
        <v>0.19964999999999997</v>
      </c>
      <c r="R5">
        <f t="shared" si="9"/>
        <v>1.0516246756055361</v>
      </c>
      <c r="S5">
        <f t="shared" si="10"/>
        <v>1.1176105960919305</v>
      </c>
      <c r="T5">
        <f t="shared" si="2"/>
        <v>0.95156856116765798</v>
      </c>
    </row>
    <row r="6" spans="2:20">
      <c r="B6" s="5">
        <v>387.61672519426185</v>
      </c>
      <c r="C6">
        <f t="shared" si="0"/>
        <v>1.158876874782002</v>
      </c>
      <c r="D6">
        <v>5</v>
      </c>
      <c r="E6">
        <f t="shared" si="5"/>
        <v>0.21961499999999995</v>
      </c>
      <c r="F6">
        <f t="shared" si="5"/>
        <v>1.2444849999999996</v>
      </c>
      <c r="G6">
        <f t="shared" si="6"/>
        <v>1.2430749931102545</v>
      </c>
      <c r="J6">
        <v>5</v>
      </c>
      <c r="K6">
        <f t="shared" si="3"/>
        <v>0.36621093749999994</v>
      </c>
      <c r="L6">
        <f t="shared" si="7"/>
        <v>1.1289500194000608</v>
      </c>
      <c r="M6">
        <f t="shared" si="8"/>
        <v>1.2000757188026845</v>
      </c>
      <c r="N6">
        <f t="shared" si="1"/>
        <v>0.96540894592370241</v>
      </c>
      <c r="P6">
        <v>5</v>
      </c>
      <c r="Q6">
        <f t="shared" si="4"/>
        <v>0.21961499999999995</v>
      </c>
      <c r="R6">
        <f t="shared" si="9"/>
        <v>1.1289500194000608</v>
      </c>
      <c r="S6">
        <f t="shared" si="10"/>
        <v>1.1753448031361706</v>
      </c>
      <c r="T6">
        <f t="shared" si="2"/>
        <v>0.94551399525412505</v>
      </c>
    </row>
    <row r="7" spans="2:20">
      <c r="B7" s="5">
        <v>401.69809125323775</v>
      </c>
      <c r="C7">
        <f t="shared" si="0"/>
        <v>1.2009766306243459</v>
      </c>
      <c r="D7">
        <v>6</v>
      </c>
      <c r="E7">
        <f t="shared" si="5"/>
        <v>0.24157649999999992</v>
      </c>
      <c r="F7">
        <f t="shared" si="5"/>
        <v>1.3689334999999994</v>
      </c>
      <c r="G7">
        <f t="shared" si="6"/>
        <v>1.3114846668611884</v>
      </c>
      <c r="J7">
        <v>6</v>
      </c>
      <c r="K7">
        <f t="shared" si="3"/>
        <v>0.45776367187499994</v>
      </c>
      <c r="L7">
        <f t="shared" si="7"/>
        <v>1.2119610502383005</v>
      </c>
      <c r="M7">
        <f t="shared" si="8"/>
        <v>1.2654091112211967</v>
      </c>
      <c r="N7">
        <f t="shared" si="1"/>
        <v>0.96486763680564747</v>
      </c>
      <c r="P7">
        <v>6</v>
      </c>
      <c r="Q7">
        <f t="shared" si="4"/>
        <v>0.24157649999999992</v>
      </c>
      <c r="R7">
        <f t="shared" si="9"/>
        <v>1.2119610502383005</v>
      </c>
      <c r="S7">
        <f t="shared" si="10"/>
        <v>1.2321444504734909</v>
      </c>
      <c r="T7">
        <f t="shared" si="2"/>
        <v>0.9395035120177313</v>
      </c>
    </row>
    <row r="8" spans="2:20">
      <c r="B8" s="5">
        <v>415.5577953775653</v>
      </c>
      <c r="C8">
        <f t="shared" si="0"/>
        <v>1.2424136728287407</v>
      </c>
      <c r="D8">
        <v>7</v>
      </c>
      <c r="E8">
        <f t="shared" si="5"/>
        <v>0.26573414999999989</v>
      </c>
      <c r="F8">
        <f t="shared" si="5"/>
        <v>1.5058268499999992</v>
      </c>
      <c r="G8">
        <f t="shared" si="6"/>
        <v>1.3819527320946847</v>
      </c>
      <c r="J8">
        <v>7</v>
      </c>
      <c r="K8">
        <f t="shared" si="3"/>
        <v>0.57220458984374989</v>
      </c>
      <c r="L8">
        <f t="shared" si="7"/>
        <v>1.301075833344058</v>
      </c>
      <c r="M8">
        <f t="shared" si="8"/>
        <v>1.33300936426369</v>
      </c>
      <c r="N8">
        <f t="shared" si="1"/>
        <v>0.96458390602346489</v>
      </c>
      <c r="P8">
        <v>7</v>
      </c>
      <c r="Q8">
        <f t="shared" si="4"/>
        <v>0.26573414999999989</v>
      </c>
      <c r="R8">
        <f t="shared" si="9"/>
        <v>1.301075833344058</v>
      </c>
      <c r="S8">
        <f t="shared" si="10"/>
        <v>1.2901037181382313</v>
      </c>
      <c r="T8">
        <f t="shared" si="2"/>
        <v>0.93353679049699922</v>
      </c>
    </row>
    <row r="9" spans="2:20">
      <c r="B9" s="5">
        <v>418.28773709902379</v>
      </c>
      <c r="C9">
        <f t="shared" si="0"/>
        <v>1.250575514475061</v>
      </c>
      <c r="D9">
        <v>8</v>
      </c>
      <c r="E9">
        <f t="shared" si="5"/>
        <v>0.29230756499999988</v>
      </c>
      <c r="F9">
        <f t="shared" si="5"/>
        <v>1.656409534999999</v>
      </c>
      <c r="G9">
        <f t="shared" si="6"/>
        <v>1.4285701907241184</v>
      </c>
      <c r="J9">
        <v>8</v>
      </c>
      <c r="K9">
        <f t="shared" si="3"/>
        <v>0.71525573730468739</v>
      </c>
      <c r="L9">
        <f t="shared" si="7"/>
        <v>1.3967431740311209</v>
      </c>
      <c r="M9">
        <f t="shared" si="8"/>
        <v>1.3779499404210052</v>
      </c>
      <c r="N9">
        <f t="shared" si="1"/>
        <v>0.96456579408432519</v>
      </c>
      <c r="P9">
        <v>8</v>
      </c>
      <c r="Q9">
        <f t="shared" si="4"/>
        <v>0.29230756499999988</v>
      </c>
      <c r="R9">
        <f>R8*0.95+R8*0.15</f>
        <v>1.4311834166784636</v>
      </c>
      <c r="S9">
        <f t="shared" si="10"/>
        <v>1.3336228308482796</v>
      </c>
      <c r="T9">
        <f t="shared" si="2"/>
        <v>0.93353679049699922</v>
      </c>
    </row>
    <row r="10" spans="2:20">
      <c r="B10" s="5">
        <v>427.59753835425386</v>
      </c>
      <c r="C10">
        <f t="shared" si="0"/>
        <v>1.278409487268922</v>
      </c>
      <c r="D10">
        <v>9</v>
      </c>
      <c r="E10">
        <f t="shared" si="5"/>
        <v>0.32153832149999984</v>
      </c>
      <c r="F10">
        <f t="shared" si="5"/>
        <v>1.8220504884999988</v>
      </c>
      <c r="G10">
        <f t="shared" si="6"/>
        <v>1.4928337114841246</v>
      </c>
      <c r="J10">
        <v>9</v>
      </c>
      <c r="K10">
        <f t="shared" si="3"/>
        <v>0.89406967163085926</v>
      </c>
      <c r="L10">
        <f t="shared" si="7"/>
        <v>1.4994448780039975</v>
      </c>
      <c r="M10">
        <f t="shared" si="8"/>
        <v>1.4403183154636006</v>
      </c>
      <c r="N10">
        <f t="shared" si="1"/>
        <v>0.96482167061439483</v>
      </c>
      <c r="P10">
        <v>9</v>
      </c>
      <c r="Q10">
        <f t="shared" si="4"/>
        <v>0.32153832149999984</v>
      </c>
      <c r="R10">
        <f t="shared" si="4"/>
        <v>1.5743017583463099</v>
      </c>
      <c r="S10">
        <f t="shared" si="10"/>
        <v>1.3936151917646127</v>
      </c>
      <c r="T10">
        <f t="shared" si="2"/>
        <v>0.933536790496999</v>
      </c>
    </row>
    <row r="11" spans="2:20">
      <c r="B11" s="5">
        <v>435.96235978282533</v>
      </c>
      <c r="C11">
        <f t="shared" si="0"/>
        <v>1.303418207185211</v>
      </c>
      <c r="D11">
        <v>10</v>
      </c>
      <c r="E11">
        <f t="shared" si="5"/>
        <v>0.35369215364999979</v>
      </c>
      <c r="F11">
        <f t="shared" si="5"/>
        <v>2.0042555373499984</v>
      </c>
      <c r="G11">
        <f t="shared" si="6"/>
        <v>1.5571085816290109</v>
      </c>
      <c r="J11">
        <v>10</v>
      </c>
      <c r="K11">
        <f t="shared" si="3"/>
        <v>1.117587089538574</v>
      </c>
      <c r="L11">
        <f t="shared" si="7"/>
        <v>1.6096981778572326</v>
      </c>
      <c r="M11">
        <f t="shared" si="8"/>
        <v>1.5031707251511139</v>
      </c>
      <c r="N11">
        <f t="shared" si="1"/>
        <v>0.96536024711811141</v>
      </c>
      <c r="P11">
        <v>10</v>
      </c>
      <c r="Q11">
        <f t="shared" si="4"/>
        <v>0.35369215364999979</v>
      </c>
      <c r="R11">
        <f t="shared" si="4"/>
        <v>1.731731934180941</v>
      </c>
      <c r="S11">
        <f t="shared" si="10"/>
        <v>1.4536181477492816</v>
      </c>
      <c r="T11">
        <f t="shared" si="2"/>
        <v>0.93353679049699922</v>
      </c>
    </row>
    <row r="12" spans="2:20">
      <c r="B12" s="5">
        <v>445.28382745566853</v>
      </c>
      <c r="C12">
        <f t="shared" si="0"/>
        <v>1.3312870596442274</v>
      </c>
      <c r="D12">
        <v>11</v>
      </c>
      <c r="E12">
        <f t="shared" si="5"/>
        <v>0.38906136901499971</v>
      </c>
      <c r="F12">
        <f t="shared" si="5"/>
        <v>2.2046810910849981</v>
      </c>
      <c r="G12">
        <f t="shared" si="6"/>
        <v>1.6261786423520423</v>
      </c>
      <c r="J12">
        <v>11</v>
      </c>
      <c r="K12">
        <f t="shared" si="3"/>
        <v>1.3969838619232176</v>
      </c>
      <c r="L12">
        <f t="shared" si="7"/>
        <v>1.7280583379937937</v>
      </c>
      <c r="M12">
        <f t="shared" si="8"/>
        <v>1.5711985022850325</v>
      </c>
      <c r="N12">
        <f t="shared" si="1"/>
        <v>0.96619059023706733</v>
      </c>
      <c r="P12">
        <v>11</v>
      </c>
      <c r="Q12">
        <f t="shared" si="4"/>
        <v>0.38906136901499971</v>
      </c>
      <c r="R12">
        <f t="shared" si="4"/>
        <v>1.904905127599035</v>
      </c>
      <c r="S12">
        <f t="shared" si="10"/>
        <v>1.5180975905560934</v>
      </c>
      <c r="T12">
        <f t="shared" si="2"/>
        <v>0.93353679049699934</v>
      </c>
    </row>
    <row r="13" spans="2:20">
      <c r="B13" s="5">
        <v>453.05366158597332</v>
      </c>
      <c r="C13">
        <f t="shared" si="0"/>
        <v>1.3545169166376001</v>
      </c>
      <c r="D13">
        <v>12</v>
      </c>
      <c r="E13">
        <f t="shared" si="5"/>
        <v>0.42796750591649968</v>
      </c>
      <c r="F13">
        <f t="shared" si="5"/>
        <v>2.4251492001934976</v>
      </c>
      <c r="G13">
        <f t="shared" si="6"/>
        <v>1.6937330589978452</v>
      </c>
      <c r="J13">
        <v>12</v>
      </c>
      <c r="K13">
        <f t="shared" si="3"/>
        <v>1.746229827404022</v>
      </c>
      <c r="L13">
        <f t="shared" si="7"/>
        <v>1.8551214510815726</v>
      </c>
      <c r="M13">
        <f t="shared" si="8"/>
        <v>1.6383854796442052</v>
      </c>
      <c r="N13">
        <f t="shared" si="1"/>
        <v>0.96732213552802215</v>
      </c>
      <c r="P13">
        <v>12</v>
      </c>
      <c r="Q13">
        <f t="shared" si="4"/>
        <v>0.42796750591649968</v>
      </c>
      <c r="R13">
        <f t="shared" si="4"/>
        <v>2.0953956403589382</v>
      </c>
      <c r="S13">
        <f t="shared" si="10"/>
        <v>1.5811621238555134</v>
      </c>
      <c r="T13">
        <f t="shared" si="2"/>
        <v>0.93353679049699945</v>
      </c>
    </row>
    <row r="14" spans="2:20">
      <c r="B14" s="5">
        <v>459.38852634987052</v>
      </c>
      <c r="C14">
        <f t="shared" si="0"/>
        <v>1.3734565748168817</v>
      </c>
      <c r="D14">
        <v>13</v>
      </c>
      <c r="E14">
        <f t="shared" si="5"/>
        <v>0.47076425650814963</v>
      </c>
      <c r="F14">
        <f t="shared" si="5"/>
        <v>2.667664120212847</v>
      </c>
      <c r="G14">
        <f t="shared" si="6"/>
        <v>1.7598843101557682</v>
      </c>
      <c r="J14">
        <v>13</v>
      </c>
      <c r="K14">
        <f t="shared" si="3"/>
        <v>2.1827872842550273</v>
      </c>
      <c r="L14">
        <f t="shared" si="7"/>
        <v>1.991527440131688</v>
      </c>
      <c r="M14">
        <f t="shared" si="8"/>
        <v>1.7049137988959524</v>
      </c>
      <c r="N14">
        <f t="shared" si="1"/>
        <v>0.96876470178034013</v>
      </c>
      <c r="P14">
        <v>13</v>
      </c>
      <c r="Q14">
        <f t="shared" si="4"/>
        <v>0.47076425650814963</v>
      </c>
      <c r="R14">
        <f t="shared" si="4"/>
        <v>2.3049352043948321</v>
      </c>
      <c r="S14">
        <f t="shared" si="10"/>
        <v>1.6429167505488416</v>
      </c>
      <c r="T14">
        <f t="shared" si="2"/>
        <v>0.93353679049699934</v>
      </c>
    </row>
    <row r="15" spans="2:20">
      <c r="B15" s="5">
        <v>468.43</v>
      </c>
      <c r="C15">
        <f t="shared" si="0"/>
        <v>1.4004883153121728</v>
      </c>
      <c r="D15">
        <v>14</v>
      </c>
      <c r="E15">
        <f t="shared" si="5"/>
        <v>0.5178406821589645</v>
      </c>
      <c r="F15">
        <f t="shared" si="5"/>
        <v>2.9344305322341313</v>
      </c>
      <c r="G15">
        <f t="shared" si="6"/>
        <v>1.8358073949003026</v>
      </c>
      <c r="J15">
        <v>14</v>
      </c>
      <c r="K15">
        <f t="shared" si="3"/>
        <v>2.7284841053187843</v>
      </c>
      <c r="L15">
        <f t="shared" si="7"/>
        <v>2.1379632813178415</v>
      </c>
      <c r="M15">
        <f t="shared" si="8"/>
        <v>1.7817034080816128</v>
      </c>
      <c r="N15">
        <f t="shared" si="1"/>
        <v>0.97052850589392681</v>
      </c>
      <c r="P15">
        <v>14</v>
      </c>
      <c r="Q15">
        <f t="shared" si="4"/>
        <v>0.5178406821589645</v>
      </c>
      <c r="R15">
        <f t="shared" si="4"/>
        <v>2.5354287248343153</v>
      </c>
      <c r="S15">
        <f t="shared" si="10"/>
        <v>1.7137937434058856</v>
      </c>
      <c r="T15">
        <f t="shared" si="2"/>
        <v>0.93353679049699911</v>
      </c>
    </row>
    <row r="17" spans="1:33">
      <c r="C17" t="s">
        <v>269</v>
      </c>
      <c r="D17">
        <v>0.3</v>
      </c>
    </row>
    <row r="18" spans="1:33">
      <c r="C18" t="s">
        <v>270</v>
      </c>
      <c r="D18">
        <v>0.7</v>
      </c>
      <c r="Z18" s="150">
        <f>AVERAGE(Z21:Z34)</f>
        <v>-3.777070137496906E-2</v>
      </c>
    </row>
    <row r="19" spans="1:33">
      <c r="A19" t="s">
        <v>271</v>
      </c>
      <c r="B19" t="s">
        <v>26</v>
      </c>
      <c r="C19" t="s">
        <v>29</v>
      </c>
      <c r="D19" t="s">
        <v>272</v>
      </c>
      <c r="F19" t="s">
        <v>0</v>
      </c>
      <c r="G19" t="s">
        <v>273</v>
      </c>
      <c r="H19" t="s">
        <v>274</v>
      </c>
      <c r="I19" t="s">
        <v>275</v>
      </c>
      <c r="J19" t="s">
        <v>276</v>
      </c>
      <c r="K19" t="s">
        <v>277</v>
      </c>
      <c r="L19" t="s">
        <v>278</v>
      </c>
      <c r="M19" t="s">
        <v>279</v>
      </c>
      <c r="N19" t="s">
        <v>280</v>
      </c>
      <c r="O19" t="s">
        <v>281</v>
      </c>
      <c r="P19" t="s">
        <v>282</v>
      </c>
      <c r="Q19" t="s">
        <v>283</v>
      </c>
      <c r="R19" t="s">
        <v>284</v>
      </c>
      <c r="S19" t="s">
        <v>285</v>
      </c>
      <c r="T19" t="s">
        <v>286</v>
      </c>
      <c r="U19" t="s">
        <v>287</v>
      </c>
      <c r="V19" t="s">
        <v>288</v>
      </c>
      <c r="X19" t="s">
        <v>289</v>
      </c>
      <c r="Y19" t="s">
        <v>290</v>
      </c>
      <c r="Z19" t="s">
        <v>291</v>
      </c>
      <c r="AD19" t="s">
        <v>292</v>
      </c>
      <c r="AE19" t="s">
        <v>293</v>
      </c>
      <c r="AF19" t="s">
        <v>294</v>
      </c>
    </row>
    <row r="20" spans="1:33">
      <c r="A20">
        <v>1.0433469819817038</v>
      </c>
      <c r="B20">
        <v>57.573770920502099</v>
      </c>
      <c r="C20">
        <v>109.53235082047952</v>
      </c>
      <c r="F20">
        <v>1964</v>
      </c>
      <c r="G20">
        <v>0.5</v>
      </c>
      <c r="H20">
        <f>A20*G20</f>
        <v>0.52167349099085192</v>
      </c>
      <c r="I20">
        <v>0.23</v>
      </c>
      <c r="K20">
        <f>0.02*C20</f>
        <v>2.1906470164095904</v>
      </c>
      <c r="L20">
        <f t="shared" ref="L20:L34" si="11">B20*0.2</f>
        <v>11.51475418410042</v>
      </c>
      <c r="M20">
        <f>A20</f>
        <v>1.0433469819817038</v>
      </c>
      <c r="N20">
        <f>1-I20</f>
        <v>0.77</v>
      </c>
      <c r="P20">
        <f>C20-K20</f>
        <v>107.34170380406994</v>
      </c>
      <c r="Q20">
        <f t="shared" ref="Q20:Q34" si="12">B20-L20</f>
        <v>46.059016736401681</v>
      </c>
      <c r="R20">
        <f>(H20*K20^$D$17*L20^$D$18)/S20</f>
        <v>5.5666580699133134E-2</v>
      </c>
      <c r="S20">
        <f t="shared" ref="S20:S34" si="13">H20*K20^$D$17*L20^$D$18+M20*P20^$D$17*Q20^$D$18</f>
        <v>65.59250451176257</v>
      </c>
      <c r="T20">
        <v>65.59250451176257</v>
      </c>
      <c r="U20">
        <f>S20/T20</f>
        <v>1</v>
      </c>
      <c r="V20" s="150">
        <f>U20-1</f>
        <v>0</v>
      </c>
      <c r="X20" s="150">
        <v>0</v>
      </c>
      <c r="Y20" s="150">
        <v>0</v>
      </c>
      <c r="Z20" s="150">
        <v>0</v>
      </c>
      <c r="AA20" s="150">
        <f>Y20-X20</f>
        <v>0</v>
      </c>
      <c r="AB20" s="150">
        <f>Z20-Y20</f>
        <v>0</v>
      </c>
      <c r="AD20" s="150">
        <v>0</v>
      </c>
      <c r="AE20" s="150">
        <v>0</v>
      </c>
      <c r="AF20" s="150">
        <v>0</v>
      </c>
      <c r="AG20" s="151">
        <f>EXP(AF20)</f>
        <v>1</v>
      </c>
    </row>
    <row r="21" spans="1:33">
      <c r="A21">
        <v>1.2086583766809353</v>
      </c>
      <c r="B21">
        <v>61.528686491332948</v>
      </c>
      <c r="C21">
        <v>117.54502364562549</v>
      </c>
      <c r="D21">
        <f>C21-C20*0.95</f>
        <v>13.489290366169953</v>
      </c>
      <c r="F21">
        <v>1965</v>
      </c>
      <c r="G21">
        <v>0.4</v>
      </c>
      <c r="H21">
        <f t="shared" ref="H21:H34" si="14">A21*G21</f>
        <v>0.48346335067237417</v>
      </c>
      <c r="I21">
        <v>0.23</v>
      </c>
      <c r="J21">
        <f t="shared" ref="J21:J34" si="15">I21*D21</f>
        <v>3.1025367842190894</v>
      </c>
      <c r="K21">
        <f>K20*0.95+J21</f>
        <v>5.1836514498082007</v>
      </c>
      <c r="L21">
        <f t="shared" si="11"/>
        <v>12.305737298266591</v>
      </c>
      <c r="M21">
        <f t="shared" ref="M21:M34" si="16">A21</f>
        <v>1.2086583766809353</v>
      </c>
      <c r="N21">
        <v>0.63</v>
      </c>
      <c r="O21">
        <f>N21*D21</f>
        <v>8.4982529306870713</v>
      </c>
      <c r="P21">
        <f>P20*0.95+O21</f>
        <v>110.47287154455351</v>
      </c>
      <c r="Q21">
        <f t="shared" si="12"/>
        <v>49.222949193066356</v>
      </c>
      <c r="R21">
        <f t="shared" ref="R21:R34" si="17">(H21*K21^$D$17*L21^$D$18)/S21</f>
        <v>5.7082841167890169E-2</v>
      </c>
      <c r="S21">
        <f t="shared" si="13"/>
        <v>80.41259210623042</v>
      </c>
      <c r="T21">
        <v>81.946681087321465</v>
      </c>
      <c r="U21">
        <f t="shared" ref="U21:U34" si="18">S21/T21</f>
        <v>0.981279425100129</v>
      </c>
      <c r="V21" s="150">
        <f t="shared" ref="V21:V34" si="19">U21-1</f>
        <v>-1.8720574899871001E-2</v>
      </c>
      <c r="X21" s="150">
        <v>2.1221365206505194E-3</v>
      </c>
      <c r="Y21" s="150">
        <v>-4.7170205087937456E-3</v>
      </c>
      <c r="Z21" s="150">
        <v>-1.8720574899871001E-2</v>
      </c>
      <c r="AA21" s="150">
        <f t="shared" ref="AA21:AB34" si="20">Y21-X21</f>
        <v>-6.839157029444265E-3</v>
      </c>
      <c r="AB21" s="150">
        <f t="shared" si="20"/>
        <v>-1.4003554391077255E-2</v>
      </c>
      <c r="AD21" s="150">
        <v>-5.9362023491538185E-4</v>
      </c>
      <c r="AE21" s="150">
        <v>-4.9773716541701152E-3</v>
      </c>
      <c r="AF21" s="150">
        <v>-4.6212291472552569E-2</v>
      </c>
      <c r="AG21" s="151">
        <f t="shared" ref="AG21:AG34" si="21">EXP(AF21)</f>
        <v>0.95483923644544655</v>
      </c>
    </row>
    <row r="22" spans="1:33">
      <c r="A22">
        <v>1.2755907363451429</v>
      </c>
      <c r="B22">
        <v>64.258628212791407</v>
      </c>
      <c r="C22">
        <v>135.9563841802441</v>
      </c>
      <c r="D22">
        <f t="shared" ref="D22:D34" si="22">C22-C21*0.95</f>
        <v>24.288611716899894</v>
      </c>
      <c r="F22">
        <v>1966</v>
      </c>
      <c r="G22">
        <v>0.4</v>
      </c>
      <c r="H22">
        <f t="shared" si="14"/>
        <v>0.51023629453805719</v>
      </c>
      <c r="I22">
        <v>0.23</v>
      </c>
      <c r="J22">
        <f t="shared" si="15"/>
        <v>5.5863806948869756</v>
      </c>
      <c r="K22">
        <f t="shared" ref="K22:K34" si="23">K21*0.95+J22</f>
        <v>10.510849572204766</v>
      </c>
      <c r="L22">
        <f t="shared" si="11"/>
        <v>12.851725642558282</v>
      </c>
      <c r="M22">
        <f t="shared" si="16"/>
        <v>1.2755907363451429</v>
      </c>
      <c r="N22">
        <v>0.63</v>
      </c>
      <c r="O22">
        <f t="shared" ref="O22:O34" si="24">N22*D22</f>
        <v>15.301825381646934</v>
      </c>
      <c r="P22">
        <f t="shared" ref="P22:P34" si="25">P21*0.95+O22</f>
        <v>120.25105334897277</v>
      </c>
      <c r="Q22">
        <f t="shared" si="12"/>
        <v>51.406902570233129</v>
      </c>
      <c r="R22">
        <f t="shared" si="17"/>
        <v>6.7998493514209474E-2</v>
      </c>
      <c r="S22">
        <f t="shared" si="13"/>
        <v>90.789665286434627</v>
      </c>
      <c r="T22">
        <v>93.413418938837097</v>
      </c>
      <c r="U22">
        <f t="shared" si="18"/>
        <v>0.97191245452518571</v>
      </c>
      <c r="V22" s="150">
        <f t="shared" si="19"/>
        <v>-2.8087545474814291E-2</v>
      </c>
      <c r="X22" s="150">
        <v>-9.8829104509190469E-4</v>
      </c>
      <c r="Y22" s="150">
        <v>-1.1565399790961828E-2</v>
      </c>
      <c r="Z22" s="150">
        <v>-2.8087545474814291E-2</v>
      </c>
      <c r="AA22" s="150">
        <f t="shared" si="20"/>
        <v>-1.0577108745869923E-2</v>
      </c>
      <c r="AB22" s="150">
        <f t="shared" si="20"/>
        <v>-1.6522145683852463E-2</v>
      </c>
      <c r="AD22" s="150">
        <v>-1.9273788983678042E-3</v>
      </c>
      <c r="AE22" s="150">
        <v>-1.1977535809418072E-2</v>
      </c>
      <c r="AF22" s="150">
        <v>-5.3300699606135371E-2</v>
      </c>
      <c r="AG22" s="151">
        <f t="shared" si="21"/>
        <v>0.94809487785816116</v>
      </c>
    </row>
    <row r="23" spans="1:33">
      <c r="A23">
        <v>1.0560039755657338</v>
      </c>
      <c r="B23">
        <v>65.903593096234317</v>
      </c>
      <c r="C23">
        <v>159.07893092577598</v>
      </c>
      <c r="D23">
        <f t="shared" si="22"/>
        <v>29.920365954544081</v>
      </c>
      <c r="F23">
        <v>1967</v>
      </c>
      <c r="G23">
        <v>0.4</v>
      </c>
      <c r="H23">
        <f t="shared" si="14"/>
        <v>0.42240159022629353</v>
      </c>
      <c r="I23">
        <v>0.23</v>
      </c>
      <c r="J23">
        <f t="shared" si="15"/>
        <v>6.8816841695451387</v>
      </c>
      <c r="K23">
        <f t="shared" si="23"/>
        <v>16.866991263139667</v>
      </c>
      <c r="L23">
        <f t="shared" si="11"/>
        <v>13.180718619246864</v>
      </c>
      <c r="M23">
        <f t="shared" si="16"/>
        <v>1.0560039755657338</v>
      </c>
      <c r="N23">
        <v>0.63</v>
      </c>
      <c r="O23">
        <f t="shared" si="24"/>
        <v>18.849830551362771</v>
      </c>
      <c r="P23">
        <f t="shared" si="25"/>
        <v>133.0883312328869</v>
      </c>
      <c r="Q23">
        <f t="shared" si="12"/>
        <v>52.722874476987457</v>
      </c>
      <c r="R23">
        <f t="shared" si="17"/>
        <v>7.5411210622615812E-2</v>
      </c>
      <c r="S23">
        <f t="shared" si="13"/>
        <v>79.498380198325748</v>
      </c>
      <c r="T23">
        <v>82.473886644048761</v>
      </c>
      <c r="U23">
        <f t="shared" si="18"/>
        <v>0.96392183554335109</v>
      </c>
      <c r="V23" s="150">
        <f t="shared" si="19"/>
        <v>-3.6078164456648909E-2</v>
      </c>
      <c r="X23" s="150">
        <v>-5.3208557594449646E-3</v>
      </c>
      <c r="Y23" s="150">
        <v>-1.7905536315674264E-2</v>
      </c>
      <c r="Z23" s="150">
        <v>-3.6078164456648909E-2</v>
      </c>
      <c r="AA23" s="150">
        <f t="shared" si="20"/>
        <v>-1.25846805562293E-2</v>
      </c>
      <c r="AB23" s="150">
        <f t="shared" si="20"/>
        <v>-1.8172628140974645E-2</v>
      </c>
      <c r="AD23" s="150">
        <v>-3.5229042179224512E-3</v>
      </c>
      <c r="AE23" s="150">
        <v>-1.8168552761936518E-2</v>
      </c>
      <c r="AF23" s="150">
        <v>-5.9567670638735248E-2</v>
      </c>
      <c r="AG23" s="151">
        <f t="shared" si="21"/>
        <v>0.94217177406818109</v>
      </c>
    </row>
    <row r="24" spans="1:33">
      <c r="A24">
        <v>0.94404092477164059</v>
      </c>
      <c r="B24">
        <v>68.271875871687598</v>
      </c>
      <c r="C24">
        <v>171.14726827475545</v>
      </c>
      <c r="D24">
        <f t="shared" si="22"/>
        <v>20.022283895268288</v>
      </c>
      <c r="F24">
        <v>1968</v>
      </c>
      <c r="G24">
        <v>0.4</v>
      </c>
      <c r="H24">
        <f t="shared" si="14"/>
        <v>0.37761636990865627</v>
      </c>
      <c r="I24">
        <v>0.23</v>
      </c>
      <c r="J24">
        <f t="shared" si="15"/>
        <v>4.6051252959117068</v>
      </c>
      <c r="K24">
        <f t="shared" si="23"/>
        <v>20.628766995894388</v>
      </c>
      <c r="L24">
        <f t="shared" si="11"/>
        <v>13.65437517433752</v>
      </c>
      <c r="M24">
        <f t="shared" si="16"/>
        <v>0.94404092477164059</v>
      </c>
      <c r="N24">
        <v>0.63</v>
      </c>
      <c r="O24">
        <f t="shared" si="24"/>
        <v>12.614038854019022</v>
      </c>
      <c r="P24">
        <f t="shared" si="25"/>
        <v>139.04795352526156</v>
      </c>
      <c r="Q24">
        <f t="shared" si="12"/>
        <v>54.617500697350081</v>
      </c>
      <c r="R24">
        <f t="shared" si="17"/>
        <v>7.877297839819232E-2</v>
      </c>
      <c r="S24">
        <f t="shared" si="13"/>
        <v>74.080824931029468</v>
      </c>
      <c r="T24">
        <v>77.182048825259528</v>
      </c>
      <c r="U24">
        <f t="shared" si="18"/>
        <v>0.9598193629032673</v>
      </c>
      <c r="V24" s="150">
        <f t="shared" si="19"/>
        <v>-4.0180637096732696E-2</v>
      </c>
      <c r="X24" s="150">
        <v>-7.8730400170282655E-3</v>
      </c>
      <c r="Y24" s="150">
        <v>-2.1278679611696383E-2</v>
      </c>
      <c r="Z24" s="150">
        <v>-4.0180637096732696E-2</v>
      </c>
      <c r="AA24" s="150">
        <f t="shared" si="20"/>
        <v>-1.3405639594668117E-2</v>
      </c>
      <c r="AB24" s="150">
        <f t="shared" si="20"/>
        <v>-1.8901957485036314E-2</v>
      </c>
      <c r="AD24" s="150">
        <v>-4.4746966721909143E-3</v>
      </c>
      <c r="AE24" s="150">
        <v>-2.1345698162034354E-2</v>
      </c>
      <c r="AF24" s="150">
        <v>-6.2783050357189119E-2</v>
      </c>
      <c r="AG24" s="151">
        <f t="shared" si="21"/>
        <v>0.93914719923866319</v>
      </c>
    </row>
    <row r="25" spans="1:33">
      <c r="A25">
        <v>1.1989527736542764</v>
      </c>
      <c r="B25">
        <v>71.258478780633595</v>
      </c>
      <c r="C25">
        <v>176.94810742378542</v>
      </c>
      <c r="D25">
        <f t="shared" si="22"/>
        <v>14.358202562767758</v>
      </c>
      <c r="F25">
        <v>1969</v>
      </c>
      <c r="G25">
        <v>0.4</v>
      </c>
      <c r="H25">
        <f t="shared" si="14"/>
        <v>0.47958110946171062</v>
      </c>
      <c r="I25">
        <v>0.23</v>
      </c>
      <c r="J25">
        <f t="shared" si="15"/>
        <v>3.3023865894365847</v>
      </c>
      <c r="K25">
        <f t="shared" si="23"/>
        <v>22.899715235536252</v>
      </c>
      <c r="L25">
        <f t="shared" si="11"/>
        <v>14.25169575612672</v>
      </c>
      <c r="M25">
        <f t="shared" si="16"/>
        <v>1.1989527736542764</v>
      </c>
      <c r="N25">
        <v>0.63</v>
      </c>
      <c r="O25">
        <f t="shared" si="24"/>
        <v>9.045667614543687</v>
      </c>
      <c r="P25">
        <f t="shared" si="25"/>
        <v>141.14122346354216</v>
      </c>
      <c r="Q25">
        <f t="shared" si="12"/>
        <v>57.006783024506873</v>
      </c>
      <c r="R25">
        <f t="shared" si="17"/>
        <v>8.0743499509153063E-2</v>
      </c>
      <c r="S25">
        <f t="shared" si="13"/>
        <v>97.591075480543722</v>
      </c>
      <c r="T25">
        <v>101.94729771314535</v>
      </c>
      <c r="U25">
        <f t="shared" si="18"/>
        <v>0.957269860699408</v>
      </c>
      <c r="V25" s="150">
        <f t="shared" si="19"/>
        <v>-4.2730139300591996E-2</v>
      </c>
      <c r="X25" s="150">
        <v>-9.5411084292446047E-3</v>
      </c>
      <c r="Y25" s="150">
        <v>-2.3406809668714557E-2</v>
      </c>
      <c r="Z25" s="150">
        <v>-4.2730139300591996E-2</v>
      </c>
      <c r="AA25" s="150">
        <f t="shared" si="20"/>
        <v>-1.3865701239469952E-2</v>
      </c>
      <c r="AB25" s="150">
        <f t="shared" si="20"/>
        <v>-1.9323329631877439E-2</v>
      </c>
      <c r="AD25" s="150">
        <v>-5.1042143458388534E-3</v>
      </c>
      <c r="AE25" s="150">
        <v>-2.3308835082415102E-2</v>
      </c>
      <c r="AF25" s="150">
        <v>-6.4769563631580596E-2</v>
      </c>
      <c r="AG25" s="151">
        <f t="shared" si="21"/>
        <v>0.9372834226821114</v>
      </c>
    </row>
    <row r="26" spans="1:33">
      <c r="A26">
        <v>1.4056854503868339</v>
      </c>
      <c r="B26">
        <v>77.243351016138675</v>
      </c>
      <c r="C26">
        <v>195.91984745072273</v>
      </c>
      <c r="D26">
        <f t="shared" si="22"/>
        <v>27.819145398126579</v>
      </c>
      <c r="F26">
        <v>1970</v>
      </c>
      <c r="G26">
        <v>0.4</v>
      </c>
      <c r="H26">
        <f t="shared" si="14"/>
        <v>0.56227418015473363</v>
      </c>
      <c r="I26">
        <v>0.23</v>
      </c>
      <c r="J26">
        <f t="shared" si="15"/>
        <v>6.3984034415691138</v>
      </c>
      <c r="K26">
        <f t="shared" si="23"/>
        <v>28.153132915328555</v>
      </c>
      <c r="L26">
        <f t="shared" si="11"/>
        <v>15.448670203227735</v>
      </c>
      <c r="M26">
        <f t="shared" si="16"/>
        <v>1.4056854503868339</v>
      </c>
      <c r="N26">
        <v>0.63</v>
      </c>
      <c r="O26">
        <f t="shared" si="24"/>
        <v>17.526061600819745</v>
      </c>
      <c r="P26">
        <f t="shared" si="25"/>
        <v>151.61022389118477</v>
      </c>
      <c r="Q26">
        <f t="shared" si="12"/>
        <v>61.79468081291094</v>
      </c>
      <c r="R26">
        <f t="shared" si="17"/>
        <v>8.3800660953871606E-2</v>
      </c>
      <c r="S26">
        <f t="shared" si="13"/>
        <v>124.10305931166977</v>
      </c>
      <c r="T26">
        <v>130.21016489506087</v>
      </c>
      <c r="U26">
        <f t="shared" si="18"/>
        <v>0.95309808886032099</v>
      </c>
      <c r="V26" s="150">
        <f t="shared" si="19"/>
        <v>-4.6901911139679009E-2</v>
      </c>
      <c r="X26" s="150">
        <v>-1.2382583775660372E-2</v>
      </c>
      <c r="Y26" s="150">
        <v>-2.693434868958744E-2</v>
      </c>
      <c r="Z26" s="150">
        <v>-4.6901911139679009E-2</v>
      </c>
      <c r="AA26" s="150">
        <f t="shared" si="20"/>
        <v>-1.4551764913927068E-2</v>
      </c>
      <c r="AB26" s="150">
        <f t="shared" si="20"/>
        <v>-1.9967562450091569E-2</v>
      </c>
      <c r="AD26" s="150">
        <v>-6.188834642942953E-3</v>
      </c>
      <c r="AE26" s="150">
        <v>-2.6493455006825539E-2</v>
      </c>
      <c r="AF26" s="150">
        <v>-6.7991706027732968E-2</v>
      </c>
      <c r="AG26" s="151">
        <f t="shared" si="21"/>
        <v>0.93426822233980555</v>
      </c>
    </row>
    <row r="27" spans="1:33">
      <c r="A27">
        <v>1.3812283990158292</v>
      </c>
      <c r="B27">
        <v>84.266534419207034</v>
      </c>
      <c r="C27">
        <v>234.42241574463725</v>
      </c>
      <c r="D27">
        <f t="shared" si="22"/>
        <v>48.298560666450669</v>
      </c>
      <c r="F27">
        <v>1971</v>
      </c>
      <c r="G27">
        <v>0.4</v>
      </c>
      <c r="H27">
        <f t="shared" si="14"/>
        <v>0.55249135960633167</v>
      </c>
      <c r="I27">
        <v>0.23</v>
      </c>
      <c r="J27">
        <f t="shared" si="15"/>
        <v>11.108668953283654</v>
      </c>
      <c r="K27">
        <f t="shared" si="23"/>
        <v>37.85414522284578</v>
      </c>
      <c r="L27">
        <f t="shared" si="11"/>
        <v>16.853306883841409</v>
      </c>
      <c r="M27">
        <f t="shared" si="16"/>
        <v>1.3812283990158292</v>
      </c>
      <c r="N27">
        <v>0.63</v>
      </c>
      <c r="O27">
        <f t="shared" si="24"/>
        <v>30.428093219863921</v>
      </c>
      <c r="P27">
        <f t="shared" si="25"/>
        <v>174.45780591648943</v>
      </c>
      <c r="Q27">
        <f t="shared" si="12"/>
        <v>67.413227535365621</v>
      </c>
      <c r="R27">
        <f t="shared" si="17"/>
        <v>8.7457674583835146E-2</v>
      </c>
      <c r="S27">
        <f t="shared" si="13"/>
        <v>135.71916788760953</v>
      </c>
      <c r="T27">
        <v>143.20047293194779</v>
      </c>
      <c r="U27">
        <f t="shared" si="18"/>
        <v>0.94775642222987944</v>
      </c>
      <c r="V27" s="150">
        <f t="shared" si="19"/>
        <v>-5.2243577770120564E-2</v>
      </c>
      <c r="X27" s="150">
        <v>-1.6189080136579159E-2</v>
      </c>
      <c r="Y27" s="150">
        <v>-3.1521434580090379E-2</v>
      </c>
      <c r="Z27" s="150">
        <v>-5.2243577770120564E-2</v>
      </c>
      <c r="AA27" s="150">
        <f t="shared" si="20"/>
        <v>-1.533235444351122E-2</v>
      </c>
      <c r="AB27" s="150">
        <f t="shared" si="20"/>
        <v>-2.0722143190030184E-2</v>
      </c>
      <c r="AD27" s="150">
        <v>-7.6610491452682172E-3</v>
      </c>
      <c r="AE27" s="150">
        <v>-3.0507793384912163E-2</v>
      </c>
      <c r="AF27" s="150">
        <v>-7.2052648611695136E-2</v>
      </c>
      <c r="AG27" s="151">
        <f t="shared" si="21"/>
        <v>0.93048190594103752</v>
      </c>
    </row>
    <row r="28" spans="1:33">
      <c r="A28">
        <v>1.3520934064418129</v>
      </c>
      <c r="B28">
        <v>88.326447748555495</v>
      </c>
      <c r="C28">
        <v>277.3253541867636</v>
      </c>
      <c r="D28">
        <f t="shared" si="22"/>
        <v>54.624059229358238</v>
      </c>
      <c r="F28">
        <v>1972</v>
      </c>
      <c r="G28">
        <v>0.4</v>
      </c>
      <c r="H28">
        <f t="shared" si="14"/>
        <v>0.54083736257672521</v>
      </c>
      <c r="I28">
        <v>0.23</v>
      </c>
      <c r="J28">
        <f t="shared" si="15"/>
        <v>12.563533622752395</v>
      </c>
      <c r="K28">
        <f t="shared" si="23"/>
        <v>48.524971584455884</v>
      </c>
      <c r="L28">
        <f t="shared" si="11"/>
        <v>17.665289549711101</v>
      </c>
      <c r="M28">
        <f t="shared" si="16"/>
        <v>1.3520934064418129</v>
      </c>
      <c r="N28">
        <f t="shared" ref="N28:N34" si="26">1-I28</f>
        <v>0.77</v>
      </c>
      <c r="O28">
        <f t="shared" si="24"/>
        <v>42.060525606605843</v>
      </c>
      <c r="P28">
        <f t="shared" si="25"/>
        <v>207.7954412272708</v>
      </c>
      <c r="Q28">
        <f t="shared" si="12"/>
        <v>70.66115819884439</v>
      </c>
      <c r="R28">
        <f t="shared" si="17"/>
        <v>8.9232732755371733E-2</v>
      </c>
      <c r="S28">
        <f t="shared" si="13"/>
        <v>144.9828430830614</v>
      </c>
      <c r="T28">
        <v>152.08741276817295</v>
      </c>
      <c r="U28">
        <f t="shared" si="18"/>
        <v>0.95328627428266488</v>
      </c>
      <c r="V28" s="150">
        <f t="shared" si="19"/>
        <v>-4.6713725717335119E-2</v>
      </c>
      <c r="X28" s="150">
        <v>-1.3332319709301377E-2</v>
      </c>
      <c r="Y28" s="150">
        <v>-2.5447640879227684E-2</v>
      </c>
      <c r="Z28" s="150">
        <v>-4.6713725717335119E-2</v>
      </c>
      <c r="AA28" s="150">
        <f t="shared" si="20"/>
        <v>-1.2115321169926307E-2</v>
      </c>
      <c r="AB28" s="150">
        <f t="shared" si="20"/>
        <v>-2.1266084838107435E-2</v>
      </c>
      <c r="AD28" s="150">
        <v>-5.6212934724606534E-3</v>
      </c>
      <c r="AE28" s="150">
        <v>-2.434943934388778E-2</v>
      </c>
      <c r="AF28" s="150">
        <v>-6.5929587565210279E-2</v>
      </c>
      <c r="AG28" s="151">
        <f t="shared" si="21"/>
        <v>0.93619678186573663</v>
      </c>
    </row>
    <row r="29" spans="1:33">
      <c r="A29">
        <v>1.3614785153161542</v>
      </c>
      <c r="B29">
        <v>90.939725293883257</v>
      </c>
      <c r="C29">
        <v>319.74764660701504</v>
      </c>
      <c r="D29">
        <f t="shared" si="22"/>
        <v>56.288560129589655</v>
      </c>
      <c r="F29">
        <v>1973</v>
      </c>
      <c r="G29">
        <v>0.4</v>
      </c>
      <c r="H29">
        <f t="shared" si="14"/>
        <v>0.54459140612646173</v>
      </c>
      <c r="I29">
        <v>0.23</v>
      </c>
      <c r="J29">
        <f t="shared" si="15"/>
        <v>12.946368829805621</v>
      </c>
      <c r="K29">
        <f t="shared" si="23"/>
        <v>59.045091835038711</v>
      </c>
      <c r="L29">
        <f t="shared" si="11"/>
        <v>18.187945058776652</v>
      </c>
      <c r="M29">
        <f t="shared" si="16"/>
        <v>1.3614785153161542</v>
      </c>
      <c r="N29">
        <f t="shared" si="26"/>
        <v>0.77</v>
      </c>
      <c r="O29">
        <f t="shared" si="24"/>
        <v>43.342191299784034</v>
      </c>
      <c r="P29">
        <f t="shared" si="25"/>
        <v>240.7478604656913</v>
      </c>
      <c r="Q29">
        <f t="shared" si="12"/>
        <v>72.751780235106608</v>
      </c>
      <c r="R29">
        <f t="shared" si="17"/>
        <v>9.04353039373363E-2</v>
      </c>
      <c r="S29">
        <f t="shared" si="13"/>
        <v>155.9324366888296</v>
      </c>
      <c r="T29">
        <v>162.88687073956712</v>
      </c>
      <c r="U29">
        <f t="shared" si="18"/>
        <v>0.95730512828221337</v>
      </c>
      <c r="V29" s="150">
        <f t="shared" si="19"/>
        <v>-4.2694871717786631E-2</v>
      </c>
      <c r="X29" s="150">
        <v>-1.1174181276511597E-2</v>
      </c>
      <c r="Y29" s="150">
        <v>-2.1051326658543479E-2</v>
      </c>
      <c r="Z29" s="150">
        <v>-4.2694871717786631E-2</v>
      </c>
      <c r="AA29" s="150">
        <f t="shared" si="20"/>
        <v>-9.8771453820318822E-3</v>
      </c>
      <c r="AB29" s="150">
        <f t="shared" si="20"/>
        <v>-2.1643545059243152E-2</v>
      </c>
      <c r="AD29" s="150">
        <v>-4.325280656482855E-3</v>
      </c>
      <c r="AE29" s="150">
        <v>-1.9995827295995361E-2</v>
      </c>
      <c r="AF29" s="150">
        <v>-6.1601262780899169E-2</v>
      </c>
      <c r="AG29" s="151">
        <f t="shared" si="21"/>
        <v>0.94025772780621408</v>
      </c>
    </row>
    <row r="30" spans="1:33">
      <c r="A30">
        <v>1.2800057379551082</v>
      </c>
      <c r="B30">
        <v>95.092969964136302</v>
      </c>
      <c r="C30">
        <v>370.13611371168281</v>
      </c>
      <c r="D30">
        <f t="shared" si="22"/>
        <v>66.375849435018552</v>
      </c>
      <c r="F30">
        <v>1974</v>
      </c>
      <c r="G30">
        <v>0.4</v>
      </c>
      <c r="H30">
        <f t="shared" si="14"/>
        <v>0.51200229518204332</v>
      </c>
      <c r="I30">
        <v>0.23</v>
      </c>
      <c r="J30">
        <f t="shared" si="15"/>
        <v>15.266445370054267</v>
      </c>
      <c r="K30">
        <f t="shared" si="23"/>
        <v>71.359282613341037</v>
      </c>
      <c r="L30">
        <f t="shared" si="11"/>
        <v>19.01859399282726</v>
      </c>
      <c r="M30">
        <f t="shared" si="16"/>
        <v>1.2800057379551082</v>
      </c>
      <c r="N30">
        <f t="shared" si="26"/>
        <v>0.77</v>
      </c>
      <c r="O30">
        <f t="shared" si="24"/>
        <v>51.109404064964288</v>
      </c>
      <c r="P30">
        <f t="shared" si="25"/>
        <v>279.81987150737103</v>
      </c>
      <c r="Q30">
        <f t="shared" si="12"/>
        <v>76.074375971309038</v>
      </c>
      <c r="R30">
        <f t="shared" si="17"/>
        <v>9.1403080782552965E-2</v>
      </c>
      <c r="S30">
        <f t="shared" si="13"/>
        <v>158.40580812182509</v>
      </c>
      <c r="T30">
        <v>164.88387692577473</v>
      </c>
      <c r="U30">
        <f t="shared" si="18"/>
        <v>0.96071132651213764</v>
      </c>
      <c r="V30" s="150">
        <f t="shared" si="19"/>
        <v>-3.9288673487862358E-2</v>
      </c>
      <c r="X30" s="150">
        <v>-9.2970997733263783E-3</v>
      </c>
      <c r="Y30" s="150">
        <v>-1.7335679741386611E-2</v>
      </c>
      <c r="Z30" s="150">
        <v>-3.9288673487862358E-2</v>
      </c>
      <c r="AA30" s="150">
        <f t="shared" si="20"/>
        <v>-8.0385799680602332E-3</v>
      </c>
      <c r="AB30" s="150">
        <f t="shared" si="20"/>
        <v>-2.1952993746475746E-2</v>
      </c>
      <c r="AD30" s="150">
        <v>-3.3497904083860108E-3</v>
      </c>
      <c r="AE30" s="150">
        <v>-1.6383007577973285E-2</v>
      </c>
      <c r="AF30" s="150">
        <v>-5.800964020966759E-2</v>
      </c>
      <c r="AG30" s="151">
        <f t="shared" si="21"/>
        <v>0.94364085049730073</v>
      </c>
    </row>
    <row r="31" spans="1:33">
      <c r="A31">
        <v>1.3201397881757526</v>
      </c>
      <c r="B31">
        <v>101.63783024506876</v>
      </c>
      <c r="C31">
        <v>421.5513168791926</v>
      </c>
      <c r="D31">
        <f t="shared" si="22"/>
        <v>69.922008853093928</v>
      </c>
      <c r="F31">
        <v>1975</v>
      </c>
      <c r="G31">
        <v>0.4</v>
      </c>
      <c r="H31">
        <f t="shared" si="14"/>
        <v>0.52805591527030105</v>
      </c>
      <c r="I31">
        <v>0.23</v>
      </c>
      <c r="J31">
        <f t="shared" si="15"/>
        <v>16.082062036211603</v>
      </c>
      <c r="K31">
        <f t="shared" si="23"/>
        <v>83.873380518885597</v>
      </c>
      <c r="L31">
        <f t="shared" si="11"/>
        <v>20.327566049013754</v>
      </c>
      <c r="M31">
        <f t="shared" si="16"/>
        <v>1.3201397881757526</v>
      </c>
      <c r="N31">
        <f t="shared" si="26"/>
        <v>0.77</v>
      </c>
      <c r="O31">
        <f t="shared" si="24"/>
        <v>53.839946816882325</v>
      </c>
      <c r="P31">
        <f t="shared" si="25"/>
        <v>319.66882474888479</v>
      </c>
      <c r="Q31">
        <f t="shared" si="12"/>
        <v>81.310264196055002</v>
      </c>
      <c r="R31">
        <f t="shared" si="17"/>
        <v>9.2114160558306582E-2</v>
      </c>
      <c r="S31">
        <f t="shared" si="13"/>
        <v>178.27913741375033</v>
      </c>
      <c r="T31">
        <v>185.06791783984349</v>
      </c>
      <c r="U31">
        <f t="shared" si="18"/>
        <v>0.96331735664758422</v>
      </c>
      <c r="V31" s="150">
        <f t="shared" si="19"/>
        <v>-3.6682643352415778E-2</v>
      </c>
      <c r="X31" s="150">
        <v>-7.8337614147042656E-3</v>
      </c>
      <c r="Y31" s="150">
        <v>-1.4498850937705976E-2</v>
      </c>
      <c r="Z31" s="150">
        <v>-3.6682643352415778E-2</v>
      </c>
      <c r="AA31" s="150">
        <f t="shared" si="20"/>
        <v>-6.6650895230017104E-3</v>
      </c>
      <c r="AB31" s="150">
        <f t="shared" si="20"/>
        <v>-2.2183792414709802E-2</v>
      </c>
      <c r="AD31" s="150">
        <v>-2.6799471616879567E-3</v>
      </c>
      <c r="AE31" s="150">
        <v>-1.366518942093331E-2</v>
      </c>
      <c r="AF31" s="150">
        <v>-5.5307895464052126E-2</v>
      </c>
      <c r="AG31" s="151">
        <f t="shared" si="21"/>
        <v>0.94619377432824692</v>
      </c>
    </row>
    <row r="32" spans="1:33">
      <c r="A32">
        <v>1.1829921782911648</v>
      </c>
      <c r="B32">
        <v>109.55932780434351</v>
      </c>
      <c r="C32">
        <v>484.23077430059612</v>
      </c>
      <c r="D32">
        <f t="shared" si="22"/>
        <v>83.757023265363159</v>
      </c>
      <c r="F32">
        <v>1976</v>
      </c>
      <c r="G32">
        <v>0.4</v>
      </c>
      <c r="H32">
        <f t="shared" si="14"/>
        <v>0.47319687131646593</v>
      </c>
      <c r="I32">
        <v>0.23</v>
      </c>
      <c r="J32">
        <f t="shared" si="15"/>
        <v>19.264115351033528</v>
      </c>
      <c r="K32">
        <f t="shared" si="23"/>
        <v>98.943826843974833</v>
      </c>
      <c r="L32">
        <f t="shared" si="11"/>
        <v>21.911865560868705</v>
      </c>
      <c r="M32">
        <f t="shared" si="16"/>
        <v>1.1829921782911648</v>
      </c>
      <c r="N32">
        <f t="shared" si="26"/>
        <v>0.77</v>
      </c>
      <c r="O32">
        <f t="shared" si="24"/>
        <v>64.492907914329635</v>
      </c>
      <c r="P32">
        <f t="shared" si="25"/>
        <v>368.17829142577017</v>
      </c>
      <c r="Q32">
        <f t="shared" si="12"/>
        <v>87.647462243474806</v>
      </c>
      <c r="R32">
        <f t="shared" si="17"/>
        <v>9.271710800429539E-2</v>
      </c>
      <c r="S32">
        <f t="shared" si="13"/>
        <v>175.78189700956659</v>
      </c>
      <c r="T32">
        <v>182.04444673529144</v>
      </c>
      <c r="U32">
        <f t="shared" si="18"/>
        <v>0.96559878733993376</v>
      </c>
      <c r="V32" s="150">
        <f t="shared" si="19"/>
        <v>-3.4401212660066238E-2</v>
      </c>
      <c r="X32" s="150">
        <v>-6.5346260110037413E-3</v>
      </c>
      <c r="Y32" s="150">
        <v>-1.2019330896412828E-2</v>
      </c>
      <c r="Z32" s="150">
        <v>-3.4401212660066238E-2</v>
      </c>
      <c r="AA32" s="150">
        <f t="shared" si="20"/>
        <v>-5.4847048854090863E-3</v>
      </c>
      <c r="AB32" s="150">
        <f t="shared" si="20"/>
        <v>-2.2381881763653411E-2</v>
      </c>
      <c r="AD32" s="150">
        <v>-2.1482912831247702E-3</v>
      </c>
      <c r="AE32" s="150">
        <v>-1.1318022205804246E-2</v>
      </c>
      <c r="AF32" s="150">
        <v>-5.2974697802738113E-2</v>
      </c>
      <c r="AG32" s="151">
        <f t="shared" si="21"/>
        <v>0.94840400888403276</v>
      </c>
    </row>
    <row r="33" spans="1:33">
      <c r="A33">
        <v>1.2271202686443141</v>
      </c>
      <c r="B33">
        <v>117.09583358238696</v>
      </c>
      <c r="C33">
        <v>543.73030545107508</v>
      </c>
      <c r="D33">
        <f t="shared" si="22"/>
        <v>83.711069865508762</v>
      </c>
      <c r="F33">
        <v>1977</v>
      </c>
      <c r="G33">
        <v>0.4</v>
      </c>
      <c r="H33">
        <f t="shared" si="14"/>
        <v>0.49084810745772567</v>
      </c>
      <c r="I33">
        <v>0.23</v>
      </c>
      <c r="J33">
        <f t="shared" si="15"/>
        <v>19.253546069067017</v>
      </c>
      <c r="K33">
        <f t="shared" si="23"/>
        <v>113.2501815708431</v>
      </c>
      <c r="L33">
        <f t="shared" si="11"/>
        <v>23.419166716477392</v>
      </c>
      <c r="M33">
        <f t="shared" si="16"/>
        <v>1.2271202686443141</v>
      </c>
      <c r="N33">
        <f t="shared" si="26"/>
        <v>0.77</v>
      </c>
      <c r="O33">
        <f t="shared" si="24"/>
        <v>64.457523796441748</v>
      </c>
      <c r="P33">
        <f t="shared" si="25"/>
        <v>414.22690065092343</v>
      </c>
      <c r="Q33">
        <f t="shared" si="12"/>
        <v>93.676666865909567</v>
      </c>
      <c r="R33">
        <f t="shared" si="17"/>
        <v>9.3152096370952314E-2</v>
      </c>
      <c r="S33">
        <f t="shared" si="13"/>
        <v>198.00044515281394</v>
      </c>
      <c r="T33">
        <v>204.69668806370871</v>
      </c>
      <c r="U33">
        <f t="shared" si="18"/>
        <v>0.96728699924636463</v>
      </c>
      <c r="V33" s="150">
        <f t="shared" si="19"/>
        <v>-3.2713000753635368E-2</v>
      </c>
      <c r="X33" s="150">
        <v>-5.5629989055459017E-3</v>
      </c>
      <c r="Y33" s="150">
        <v>-1.0186797810593617E-2</v>
      </c>
      <c r="Z33" s="150">
        <v>-3.2713000753635368E-2</v>
      </c>
      <c r="AA33" s="150">
        <f t="shared" si="20"/>
        <v>-4.6237989050477157E-3</v>
      </c>
      <c r="AB33" s="150">
        <f t="shared" si="20"/>
        <v>-2.2526202943041751E-2</v>
      </c>
      <c r="AD33" s="150">
        <v>-1.7879894882752989E-3</v>
      </c>
      <c r="AE33" s="150">
        <v>-9.6001020982863228E-3</v>
      </c>
      <c r="AF33" s="150">
        <v>-5.126705406678389E-2</v>
      </c>
      <c r="AG33" s="151">
        <f t="shared" si="21"/>
        <v>0.95002492863179455</v>
      </c>
    </row>
    <row r="34" spans="1:33">
      <c r="A34">
        <v>1.2171773605821037</v>
      </c>
      <c r="B34">
        <v>138.07</v>
      </c>
      <c r="C34">
        <v>604.84694717551133</v>
      </c>
      <c r="D34">
        <f t="shared" si="22"/>
        <v>88.303156996990083</v>
      </c>
      <c r="F34">
        <v>1978</v>
      </c>
      <c r="G34">
        <v>0.4</v>
      </c>
      <c r="H34">
        <f t="shared" si="14"/>
        <v>0.4868709442328415</v>
      </c>
      <c r="I34">
        <v>0.23</v>
      </c>
      <c r="J34">
        <f t="shared" si="15"/>
        <v>20.309726109307721</v>
      </c>
      <c r="K34">
        <f t="shared" si="23"/>
        <v>127.89739860160866</v>
      </c>
      <c r="L34">
        <f t="shared" si="11"/>
        <v>27.614000000000001</v>
      </c>
      <c r="M34">
        <f t="shared" si="16"/>
        <v>1.2171773605821037</v>
      </c>
      <c r="N34">
        <f t="shared" si="26"/>
        <v>0.77</v>
      </c>
      <c r="O34">
        <f t="shared" si="24"/>
        <v>67.993430887682365</v>
      </c>
      <c r="P34">
        <f t="shared" si="25"/>
        <v>461.50898650605961</v>
      </c>
      <c r="Q34">
        <f t="shared" si="12"/>
        <v>110.45599999999999</v>
      </c>
      <c r="R34">
        <f t="shared" si="17"/>
        <v>9.349583526698324E-2</v>
      </c>
      <c r="S34">
        <f t="shared" si="13"/>
        <v>227.75642072952203</v>
      </c>
      <c r="T34">
        <v>235.12843583044938</v>
      </c>
      <c r="U34">
        <f t="shared" si="18"/>
        <v>0.96864685857799315</v>
      </c>
      <c r="V34" s="150">
        <f t="shared" si="19"/>
        <v>-3.1353141422006847E-2</v>
      </c>
      <c r="X34" s="150">
        <v>-4.7742475387203553E-3</v>
      </c>
      <c r="Y34" s="150">
        <v>-8.7120296416346443E-3</v>
      </c>
      <c r="Z34" s="150">
        <v>-3.1353141422006847E-2</v>
      </c>
      <c r="AA34" s="150">
        <f t="shared" si="20"/>
        <v>-3.937782102914289E-3</v>
      </c>
      <c r="AB34" s="150">
        <f t="shared" si="20"/>
        <v>-2.2641111780372203E-2</v>
      </c>
      <c r="AD34" s="150">
        <v>-1.5183702339279792E-3</v>
      </c>
      <c r="AE34" s="150">
        <v>-8.2278431112272621E-3</v>
      </c>
      <c r="AF34" s="150">
        <v>-4.9903035293329068E-2</v>
      </c>
      <c r="AG34" s="151">
        <f t="shared" si="21"/>
        <v>0.95132166465478496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66"/>
  <sheetViews>
    <sheetView view="pageBreakPreview" zoomScale="115" zoomScaleNormal="100" zoomScaleSheetLayoutView="115" workbookViewId="0">
      <pane xSplit="1" ySplit="4" topLeftCell="K29" activePane="bottomRight" state="frozen"/>
      <selection pane="topRight" activeCell="B1" sqref="B1"/>
      <selection pane="bottomLeft" activeCell="A3" sqref="A3"/>
      <selection pane="bottomRight"/>
    </sheetView>
  </sheetViews>
  <sheetFormatPr defaultRowHeight="15"/>
  <cols>
    <col min="2" max="2" width="10" customWidth="1"/>
    <col min="5" max="5" width="10.140625" customWidth="1"/>
    <col min="7" max="7" width="10.28515625" customWidth="1"/>
    <col min="9" max="9" width="9.5703125" customWidth="1"/>
    <col min="10" max="10" width="10.28515625" customWidth="1"/>
    <col min="15" max="15" width="12" customWidth="1"/>
    <col min="16" max="17" width="11.28515625" customWidth="1"/>
    <col min="18" max="18" width="11.85546875" customWidth="1"/>
    <col min="19" max="19" width="11.7109375" customWidth="1"/>
    <col min="20" max="20" width="10.7109375" customWidth="1"/>
    <col min="21" max="21" width="11" customWidth="1"/>
    <col min="22" max="24" width="10.28515625" customWidth="1"/>
  </cols>
  <sheetData>
    <row r="1" spans="1:43">
      <c r="A1" s="10" t="s">
        <v>115</v>
      </c>
      <c r="B1" s="10" t="s">
        <v>109</v>
      </c>
      <c r="C1" s="125" t="s">
        <v>108</v>
      </c>
      <c r="D1" s="125"/>
      <c r="E1" s="125"/>
      <c r="F1" s="125"/>
      <c r="G1" s="125" t="s">
        <v>107</v>
      </c>
      <c r="H1" s="125"/>
      <c r="I1" s="125"/>
      <c r="J1" s="125"/>
      <c r="K1" s="125" t="s">
        <v>114</v>
      </c>
      <c r="L1" s="125"/>
      <c r="M1" s="125"/>
      <c r="N1" s="125"/>
      <c r="O1" s="125" t="s">
        <v>122</v>
      </c>
      <c r="P1" s="125"/>
      <c r="Q1" s="125"/>
      <c r="R1" s="125"/>
      <c r="S1" s="125"/>
      <c r="T1" s="125"/>
      <c r="U1" s="125"/>
      <c r="V1" s="125" t="s">
        <v>123</v>
      </c>
      <c r="W1" s="125"/>
      <c r="X1" s="125"/>
      <c r="Z1" s="8"/>
    </row>
    <row r="2" spans="1:43">
      <c r="A2" s="10" t="s">
        <v>116</v>
      </c>
      <c r="B2" s="125" t="s">
        <v>106</v>
      </c>
      <c r="C2" s="125"/>
      <c r="D2" s="125"/>
      <c r="E2" s="125"/>
      <c r="F2" s="125"/>
      <c r="G2" s="125" t="s">
        <v>110</v>
      </c>
      <c r="H2" s="125"/>
      <c r="I2" s="125"/>
      <c r="J2" s="125"/>
      <c r="K2" s="125" t="s">
        <v>113</v>
      </c>
      <c r="L2" s="125"/>
      <c r="M2" s="125"/>
      <c r="N2" s="125"/>
      <c r="O2" s="125" t="s">
        <v>110</v>
      </c>
      <c r="P2" s="125"/>
      <c r="Q2" s="125"/>
      <c r="R2" s="125"/>
      <c r="S2" s="125"/>
      <c r="T2" s="125"/>
      <c r="U2" s="125"/>
      <c r="V2" s="125" t="s">
        <v>110</v>
      </c>
      <c r="W2" s="125"/>
      <c r="X2" s="125"/>
    </row>
    <row r="3" spans="1:43">
      <c r="A3" s="10" t="s">
        <v>117</v>
      </c>
      <c r="B3" s="11" t="s">
        <v>1</v>
      </c>
      <c r="C3" s="125" t="s">
        <v>3</v>
      </c>
      <c r="D3" s="125"/>
      <c r="E3" s="125"/>
      <c r="F3" s="125"/>
      <c r="G3" s="125" t="s">
        <v>111</v>
      </c>
      <c r="H3" s="125"/>
      <c r="I3" s="125"/>
      <c r="J3" s="125"/>
      <c r="K3" s="125" t="s">
        <v>112</v>
      </c>
      <c r="L3" s="125"/>
      <c r="M3" s="125"/>
      <c r="N3" s="125"/>
      <c r="O3" s="125" t="s">
        <v>118</v>
      </c>
      <c r="P3" s="125"/>
      <c r="Q3" s="125"/>
      <c r="R3" s="125"/>
      <c r="S3" s="125"/>
      <c r="T3" s="125"/>
      <c r="U3" s="125"/>
      <c r="V3" s="125" t="s">
        <v>124</v>
      </c>
      <c r="W3" s="125"/>
      <c r="X3" s="125"/>
    </row>
    <row r="4" spans="1:43" ht="45" customHeight="1">
      <c r="A4" s="10" t="s">
        <v>0</v>
      </c>
      <c r="B4" s="16" t="s">
        <v>2</v>
      </c>
      <c r="C4" s="16" t="s">
        <v>7</v>
      </c>
      <c r="D4" s="13" t="s">
        <v>4</v>
      </c>
      <c r="E4" s="13" t="s">
        <v>5</v>
      </c>
      <c r="F4" s="13" t="s">
        <v>6</v>
      </c>
      <c r="G4" s="16" t="s">
        <v>7</v>
      </c>
      <c r="H4" s="13" t="s">
        <v>4</v>
      </c>
      <c r="I4" s="13" t="s">
        <v>5</v>
      </c>
      <c r="J4" s="13" t="s">
        <v>6</v>
      </c>
      <c r="K4" s="16" t="s">
        <v>7</v>
      </c>
      <c r="L4" s="13" t="s">
        <v>4</v>
      </c>
      <c r="M4" s="13" t="s">
        <v>5</v>
      </c>
      <c r="N4" s="13" t="s">
        <v>6</v>
      </c>
      <c r="O4" s="16" t="s">
        <v>8</v>
      </c>
      <c r="P4" s="13" t="s">
        <v>9</v>
      </c>
      <c r="Q4" s="13" t="s">
        <v>10</v>
      </c>
      <c r="R4" s="14" t="s">
        <v>119</v>
      </c>
      <c r="S4" s="14" t="s">
        <v>120</v>
      </c>
      <c r="T4" s="14" t="s">
        <v>121</v>
      </c>
      <c r="U4" s="13" t="s">
        <v>11</v>
      </c>
      <c r="V4" s="16" t="s">
        <v>13</v>
      </c>
      <c r="W4" s="13" t="s">
        <v>14</v>
      </c>
      <c r="X4" s="15" t="s">
        <v>15</v>
      </c>
    </row>
    <row r="5" spans="1:43">
      <c r="A5" s="24">
        <v>1949</v>
      </c>
      <c r="B5" s="22">
        <v>54167</v>
      </c>
      <c r="C5" s="22"/>
      <c r="D5" s="4"/>
      <c r="E5" s="4"/>
      <c r="F5" s="4"/>
      <c r="G5" s="22"/>
      <c r="H5" s="4"/>
      <c r="I5" s="4"/>
      <c r="J5" s="4"/>
      <c r="K5" s="22"/>
      <c r="L5" s="4"/>
      <c r="M5" s="4"/>
      <c r="N5" s="4"/>
      <c r="O5" s="22"/>
      <c r="P5" s="4"/>
      <c r="Q5" s="4"/>
      <c r="R5" s="4"/>
      <c r="S5" s="4"/>
      <c r="T5" s="4"/>
      <c r="U5" s="4"/>
      <c r="V5" s="22"/>
      <c r="W5" s="4"/>
      <c r="X5" s="18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</row>
    <row r="6" spans="1:43">
      <c r="A6" s="24">
        <v>1950</v>
      </c>
      <c r="B6" s="22">
        <v>55196</v>
      </c>
      <c r="C6" s="22"/>
      <c r="D6" s="4"/>
      <c r="E6" s="4"/>
      <c r="F6" s="4"/>
      <c r="G6" s="22"/>
      <c r="H6" s="4"/>
      <c r="I6" s="4"/>
      <c r="J6" s="4"/>
      <c r="K6" s="22"/>
      <c r="L6" s="4"/>
      <c r="M6" s="4"/>
      <c r="N6" s="4"/>
      <c r="O6" s="22"/>
      <c r="P6" s="4"/>
      <c r="Q6" s="4"/>
      <c r="R6" s="4"/>
      <c r="S6" s="4"/>
      <c r="T6" s="4"/>
      <c r="U6" s="4"/>
      <c r="V6" s="22">
        <v>20</v>
      </c>
      <c r="W6" s="4">
        <v>21.3</v>
      </c>
      <c r="X6" s="18">
        <v>-1.3</v>
      </c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</row>
    <row r="7" spans="1:43">
      <c r="A7" s="24">
        <v>1951</v>
      </c>
      <c r="B7" s="22">
        <v>56300</v>
      </c>
      <c r="C7" s="22"/>
      <c r="D7" s="4"/>
      <c r="E7" s="4"/>
      <c r="F7" s="4"/>
      <c r="G7" s="22"/>
      <c r="H7" s="4"/>
      <c r="I7" s="4"/>
      <c r="J7" s="4"/>
      <c r="K7" s="22"/>
      <c r="L7" s="4"/>
      <c r="M7" s="4"/>
      <c r="N7" s="4"/>
      <c r="O7" s="22"/>
      <c r="P7" s="4"/>
      <c r="Q7" s="4"/>
      <c r="R7" s="4"/>
      <c r="S7" s="4"/>
      <c r="T7" s="4"/>
      <c r="U7" s="4"/>
      <c r="V7" s="22">
        <v>24.2</v>
      </c>
      <c r="W7" s="4">
        <v>35.299999999999997</v>
      </c>
      <c r="X7" s="18">
        <v>-11.1</v>
      </c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</row>
    <row r="8" spans="1:43">
      <c r="A8" s="24">
        <v>1952</v>
      </c>
      <c r="B8" s="22">
        <v>57482</v>
      </c>
      <c r="C8" s="22">
        <v>20729</v>
      </c>
      <c r="D8" s="4">
        <v>17317</v>
      </c>
      <c r="E8" s="4">
        <v>1531</v>
      </c>
      <c r="F8" s="4">
        <v>1881</v>
      </c>
      <c r="G8" s="36">
        <v>679</v>
      </c>
      <c r="H8" s="5">
        <v>345.9756428144309</v>
      </c>
      <c r="I8" s="5">
        <v>141.80000000000001</v>
      </c>
      <c r="J8" s="5">
        <v>191.22435718556909</v>
      </c>
      <c r="K8" s="36">
        <v>100</v>
      </c>
      <c r="L8" s="5">
        <v>100</v>
      </c>
      <c r="M8" s="5">
        <v>100</v>
      </c>
      <c r="N8" s="5">
        <v>100</v>
      </c>
      <c r="O8" s="22">
        <v>546.29999999999995</v>
      </c>
      <c r="P8" s="4">
        <v>453</v>
      </c>
      <c r="Q8" s="4">
        <f t="shared" ref="Q8:Q33" si="0">O8-P8</f>
        <v>93.299999999999955</v>
      </c>
      <c r="R8" s="4">
        <v>153.69999999999999</v>
      </c>
      <c r="S8" s="4">
        <v>80.7</v>
      </c>
      <c r="T8" s="4">
        <f t="shared" ref="T8:T33" si="1">R8-S8</f>
        <v>72.999999999999986</v>
      </c>
      <c r="U8" s="4">
        <v>-7.8</v>
      </c>
      <c r="V8" s="22">
        <v>27.1</v>
      </c>
      <c r="W8" s="4">
        <v>37.5</v>
      </c>
      <c r="X8" s="18">
        <v>-10.4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O8" s="1"/>
      <c r="AP8" s="1"/>
      <c r="AQ8" s="1"/>
    </row>
    <row r="9" spans="1:43">
      <c r="A9" s="24">
        <v>1953</v>
      </c>
      <c r="B9" s="22">
        <v>58796</v>
      </c>
      <c r="C9" s="22">
        <v>21364</v>
      </c>
      <c r="D9" s="4">
        <v>17747</v>
      </c>
      <c r="E9" s="4">
        <v>1715</v>
      </c>
      <c r="F9" s="4">
        <v>1902</v>
      </c>
      <c r="G9" s="36">
        <v>824.18965698666841</v>
      </c>
      <c r="H9" s="5">
        <v>381.39047239386088</v>
      </c>
      <c r="I9" s="5">
        <v>192.5</v>
      </c>
      <c r="J9" s="5">
        <v>250.29918459280753</v>
      </c>
      <c r="K9" s="36">
        <v>115.61604584527223</v>
      </c>
      <c r="L9" s="5">
        <v>101.880621422731</v>
      </c>
      <c r="M9" s="5">
        <v>135.81871345029239</v>
      </c>
      <c r="N9" s="5">
        <v>124.85476488038839</v>
      </c>
      <c r="O9" s="22">
        <v>644.4</v>
      </c>
      <c r="P9" s="4">
        <v>529.20000000000005</v>
      </c>
      <c r="Q9" s="4">
        <f t="shared" si="0"/>
        <v>115.19999999999993</v>
      </c>
      <c r="R9" s="4">
        <v>198.3</v>
      </c>
      <c r="S9" s="4">
        <v>115.3</v>
      </c>
      <c r="T9" s="4">
        <f t="shared" si="1"/>
        <v>83.000000000000014</v>
      </c>
      <c r="U9" s="4">
        <v>-8.4</v>
      </c>
      <c r="V9" s="22">
        <v>34.799999999999997</v>
      </c>
      <c r="W9" s="4">
        <v>46.1</v>
      </c>
      <c r="X9" s="18">
        <v>-11.3</v>
      </c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O9" s="1"/>
      <c r="AP9" s="1"/>
      <c r="AQ9" s="1"/>
    </row>
    <row r="10" spans="1:43">
      <c r="A10" s="24">
        <v>1954</v>
      </c>
      <c r="B10" s="22">
        <v>60266</v>
      </c>
      <c r="C10" s="22">
        <v>21832</v>
      </c>
      <c r="D10" s="4">
        <v>18151</v>
      </c>
      <c r="E10" s="4">
        <v>1882</v>
      </c>
      <c r="F10" s="4">
        <v>1799</v>
      </c>
      <c r="G10" s="36">
        <v>859.38423242809131</v>
      </c>
      <c r="H10" s="5">
        <v>395.51604544548536</v>
      </c>
      <c r="I10" s="5">
        <v>211.7</v>
      </c>
      <c r="J10" s="5">
        <v>252.16818698260596</v>
      </c>
      <c r="K10" s="36">
        <v>120.487106017192</v>
      </c>
      <c r="L10" s="5">
        <v>103.59771054783319</v>
      </c>
      <c r="M10" s="5">
        <v>157.09064327485379</v>
      </c>
      <c r="N10" s="5">
        <v>124.37121824473894</v>
      </c>
      <c r="O10" s="22">
        <v>654.1</v>
      </c>
      <c r="P10" s="4">
        <v>550</v>
      </c>
      <c r="Q10" s="4">
        <f t="shared" si="0"/>
        <v>104.10000000000002</v>
      </c>
      <c r="R10" s="4">
        <v>226.9</v>
      </c>
      <c r="S10" s="4">
        <v>140.9</v>
      </c>
      <c r="T10" s="4">
        <f t="shared" si="1"/>
        <v>86</v>
      </c>
      <c r="U10" s="4">
        <v>-2.7</v>
      </c>
      <c r="V10" s="22">
        <v>40</v>
      </c>
      <c r="W10" s="4">
        <v>44.7</v>
      </c>
      <c r="X10" s="18">
        <v>-4.7</v>
      </c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O10" s="1"/>
      <c r="AP10" s="1"/>
      <c r="AQ10" s="1"/>
    </row>
    <row r="11" spans="1:43">
      <c r="A11" s="24">
        <v>1955</v>
      </c>
      <c r="B11" s="22">
        <v>61465</v>
      </c>
      <c r="C11" s="22">
        <v>22328</v>
      </c>
      <c r="D11" s="4">
        <v>18592</v>
      </c>
      <c r="E11" s="4">
        <v>1913</v>
      </c>
      <c r="F11" s="4">
        <v>1823</v>
      </c>
      <c r="G11" s="36">
        <v>910.7844182365443</v>
      </c>
      <c r="H11" s="5">
        <v>424.77616105242174</v>
      </c>
      <c r="I11" s="5">
        <v>222.2</v>
      </c>
      <c r="J11" s="5">
        <v>263.80825718412257</v>
      </c>
      <c r="K11" s="36">
        <v>128.73925501432669</v>
      </c>
      <c r="L11" s="5">
        <v>111.80158081221042</v>
      </c>
      <c r="M11" s="5">
        <v>169.00584795321637</v>
      </c>
      <c r="N11" s="5">
        <v>130.37267982932264</v>
      </c>
      <c r="O11" s="22">
        <v>722.3</v>
      </c>
      <c r="P11" s="4">
        <v>602.6</v>
      </c>
      <c r="Q11" s="4">
        <f t="shared" si="0"/>
        <v>119.69999999999993</v>
      </c>
      <c r="R11" s="4">
        <v>221.5</v>
      </c>
      <c r="S11" s="4">
        <v>145.5</v>
      </c>
      <c r="T11" s="4">
        <f t="shared" si="1"/>
        <v>76</v>
      </c>
      <c r="U11" s="4">
        <v>-8.9</v>
      </c>
      <c r="V11" s="22">
        <v>48.7</v>
      </c>
      <c r="W11" s="4">
        <v>61.1</v>
      </c>
      <c r="X11" s="18">
        <v>-12.4</v>
      </c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O11" s="1"/>
      <c r="AP11" s="1"/>
      <c r="AQ11" s="1"/>
    </row>
    <row r="12" spans="1:43">
      <c r="A12" s="24">
        <v>1956</v>
      </c>
      <c r="B12" s="22">
        <v>62828</v>
      </c>
      <c r="C12" s="22">
        <v>23018</v>
      </c>
      <c r="D12" s="4">
        <v>18544</v>
      </c>
      <c r="E12" s="4">
        <v>2468</v>
      </c>
      <c r="F12" s="4">
        <v>2006</v>
      </c>
      <c r="G12" s="36">
        <v>1028.9812891238751</v>
      </c>
      <c r="H12" s="5">
        <v>447.88156268686464</v>
      </c>
      <c r="I12" s="5">
        <v>280.7</v>
      </c>
      <c r="J12" s="5">
        <v>300.39972643701043</v>
      </c>
      <c r="K12" s="36">
        <v>148.08022922636107</v>
      </c>
      <c r="L12" s="5">
        <v>117.00735895339329</v>
      </c>
      <c r="M12" s="5">
        <v>227.26608187134502</v>
      </c>
      <c r="N12" s="5">
        <v>147.69844913358304</v>
      </c>
      <c r="O12" s="22">
        <v>772.6</v>
      </c>
      <c r="P12" s="4">
        <v>646.79999999999995</v>
      </c>
      <c r="Q12" s="4">
        <f t="shared" si="0"/>
        <v>125.80000000000007</v>
      </c>
      <c r="R12" s="4">
        <v>257.60000000000002</v>
      </c>
      <c r="S12" s="4">
        <v>219.6</v>
      </c>
      <c r="T12" s="4">
        <f t="shared" si="1"/>
        <v>38.000000000000028</v>
      </c>
      <c r="U12" s="4">
        <v>4</v>
      </c>
      <c r="V12" s="22">
        <v>55.7</v>
      </c>
      <c r="W12" s="4">
        <v>53</v>
      </c>
      <c r="X12" s="18">
        <v>2.7</v>
      </c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O12" s="1"/>
      <c r="AP12" s="1"/>
      <c r="AQ12" s="1"/>
    </row>
    <row r="13" spans="1:43">
      <c r="A13" s="24">
        <v>1957</v>
      </c>
      <c r="B13" s="22">
        <v>64653</v>
      </c>
      <c r="C13" s="22">
        <v>23771</v>
      </c>
      <c r="D13" s="4">
        <v>19309</v>
      </c>
      <c r="E13" s="4">
        <v>2142</v>
      </c>
      <c r="F13" s="4">
        <v>2320</v>
      </c>
      <c r="G13" s="36">
        <v>1069.2900641389178</v>
      </c>
      <c r="H13" s="5">
        <v>433.85688658560895</v>
      </c>
      <c r="I13" s="5">
        <v>317</v>
      </c>
      <c r="J13" s="5">
        <v>318.43317755330895</v>
      </c>
      <c r="K13" s="36">
        <v>155.57306590257892</v>
      </c>
      <c r="L13" s="5">
        <v>120.6050695012265</v>
      </c>
      <c r="M13" s="5">
        <v>245.54093567251465</v>
      </c>
      <c r="N13" s="5">
        <v>154.59952575881164</v>
      </c>
      <c r="O13" s="22">
        <v>816.4</v>
      </c>
      <c r="P13" s="4">
        <v>686.6</v>
      </c>
      <c r="Q13" s="4">
        <f t="shared" si="0"/>
        <v>129.79999999999995</v>
      </c>
      <c r="R13" s="4">
        <v>280</v>
      </c>
      <c r="S13" s="4">
        <v>187</v>
      </c>
      <c r="T13" s="4">
        <f t="shared" si="1"/>
        <v>93</v>
      </c>
      <c r="U13" s="4">
        <v>5.5</v>
      </c>
      <c r="V13" s="22">
        <v>54.5</v>
      </c>
      <c r="W13" s="4">
        <v>50</v>
      </c>
      <c r="X13" s="18">
        <v>4.5</v>
      </c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O13" s="1"/>
      <c r="AP13" s="1"/>
      <c r="AQ13" s="1"/>
    </row>
    <row r="14" spans="1:43">
      <c r="A14" s="24">
        <v>1958</v>
      </c>
      <c r="B14" s="22">
        <v>65994</v>
      </c>
      <c r="C14" s="22">
        <v>26600</v>
      </c>
      <c r="D14" s="4">
        <v>15490</v>
      </c>
      <c r="E14" s="4">
        <v>7076</v>
      </c>
      <c r="F14" s="4">
        <v>4034</v>
      </c>
      <c r="G14" s="36">
        <v>1308.2090596785342</v>
      </c>
      <c r="H14" s="5">
        <v>449.89950169423958</v>
      </c>
      <c r="I14" s="5">
        <v>483.5</v>
      </c>
      <c r="J14" s="5">
        <v>374.80955798429466</v>
      </c>
      <c r="K14" s="36">
        <v>188.63962579011204</v>
      </c>
      <c r="L14" s="5">
        <v>121.13809958276252</v>
      </c>
      <c r="M14" s="5">
        <v>375.43751268286388</v>
      </c>
      <c r="N14" s="5">
        <v>182.57209955663077</v>
      </c>
      <c r="O14" s="22">
        <v>852.6</v>
      </c>
      <c r="P14" s="4">
        <v>724</v>
      </c>
      <c r="Q14" s="4">
        <f t="shared" si="0"/>
        <v>128.60000000000002</v>
      </c>
      <c r="R14" s="4">
        <v>432</v>
      </c>
      <c r="S14" s="4">
        <v>333</v>
      </c>
      <c r="T14" s="4">
        <f t="shared" si="1"/>
        <v>99</v>
      </c>
      <c r="U14" s="4">
        <v>6.6</v>
      </c>
      <c r="V14" s="22">
        <v>67</v>
      </c>
      <c r="W14" s="4">
        <v>61.7</v>
      </c>
      <c r="X14" s="18">
        <v>5.3</v>
      </c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O14" s="1"/>
      <c r="AP14" s="1"/>
      <c r="AQ14" s="1"/>
    </row>
    <row r="15" spans="1:43">
      <c r="A15" s="24">
        <v>1959</v>
      </c>
      <c r="B15" s="22">
        <v>67207</v>
      </c>
      <c r="C15" s="22">
        <v>26173</v>
      </c>
      <c r="D15" s="4">
        <v>16271</v>
      </c>
      <c r="E15" s="4">
        <v>5402</v>
      </c>
      <c r="F15" s="4">
        <v>4500</v>
      </c>
      <c r="G15" s="36">
        <v>1440.3638085838686</v>
      </c>
      <c r="H15" s="5">
        <v>387.24249551524815</v>
      </c>
      <c r="I15" s="5">
        <v>615.5</v>
      </c>
      <c r="J15" s="5">
        <v>437.62131306862057</v>
      </c>
      <c r="K15" s="36">
        <v>205.27487309917055</v>
      </c>
      <c r="L15" s="5">
        <v>101.92096243264852</v>
      </c>
      <c r="M15" s="5">
        <v>472.25964820041702</v>
      </c>
      <c r="N15" s="5">
        <v>211.00678843694425</v>
      </c>
      <c r="O15" s="22">
        <v>821.5</v>
      </c>
      <c r="P15" s="4">
        <v>691.2</v>
      </c>
      <c r="Q15" s="4">
        <f t="shared" si="0"/>
        <v>130.29999999999995</v>
      </c>
      <c r="R15" s="4">
        <v>621.70000000000005</v>
      </c>
      <c r="S15" s="4">
        <v>435.7</v>
      </c>
      <c r="T15" s="4">
        <f t="shared" si="1"/>
        <v>186.00000000000006</v>
      </c>
      <c r="U15" s="4">
        <v>8.1</v>
      </c>
      <c r="V15" s="22">
        <v>78.099999999999994</v>
      </c>
      <c r="W15" s="4">
        <v>71.2</v>
      </c>
      <c r="X15" s="18">
        <v>6.9</v>
      </c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O15" s="1"/>
      <c r="AP15" s="1"/>
      <c r="AQ15" s="1"/>
    </row>
    <row r="16" spans="1:43">
      <c r="A16" s="24">
        <v>1960</v>
      </c>
      <c r="B16" s="22">
        <v>66207</v>
      </c>
      <c r="C16" s="22">
        <v>25880</v>
      </c>
      <c r="D16" s="4">
        <v>17016</v>
      </c>
      <c r="E16" s="4">
        <v>4112</v>
      </c>
      <c r="F16" s="4">
        <v>4752</v>
      </c>
      <c r="G16" s="36">
        <v>1457.4730167300704</v>
      </c>
      <c r="H16" s="5">
        <v>343.75590990631849</v>
      </c>
      <c r="I16" s="5">
        <v>648.20000000000005</v>
      </c>
      <c r="J16" s="5">
        <v>465.51710682375187</v>
      </c>
      <c r="K16" s="36">
        <v>204.61936860800796</v>
      </c>
      <c r="L16" s="5">
        <v>85.228704616126095</v>
      </c>
      <c r="M16" s="5">
        <v>498.5952690611914</v>
      </c>
      <c r="N16" s="5">
        <v>221.51074181436277</v>
      </c>
      <c r="O16" s="22">
        <v>932.6</v>
      </c>
      <c r="P16" s="4">
        <v>741.7</v>
      </c>
      <c r="Q16" s="4">
        <f t="shared" si="0"/>
        <v>190.89999999999998</v>
      </c>
      <c r="R16" s="4">
        <v>575</v>
      </c>
      <c r="S16" s="4">
        <v>473</v>
      </c>
      <c r="T16" s="4">
        <f t="shared" si="1"/>
        <v>102</v>
      </c>
      <c r="U16" s="4">
        <v>0.4</v>
      </c>
      <c r="V16" s="22">
        <v>63.3</v>
      </c>
      <c r="W16" s="4">
        <v>65.099999999999994</v>
      </c>
      <c r="X16" s="18">
        <v>-1.8</v>
      </c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O16" s="1"/>
      <c r="AP16" s="1"/>
      <c r="AQ16" s="1"/>
    </row>
    <row r="17" spans="1:43">
      <c r="A17" s="24">
        <v>1961</v>
      </c>
      <c r="B17" s="22">
        <v>65859</v>
      </c>
      <c r="C17" s="22">
        <v>25590</v>
      </c>
      <c r="D17" s="4">
        <v>19747</v>
      </c>
      <c r="E17" s="4">
        <v>2856</v>
      </c>
      <c r="F17" s="4">
        <v>2987</v>
      </c>
      <c r="G17" s="36">
        <v>1220.9373069807787</v>
      </c>
      <c r="H17" s="5">
        <v>445.05644807653977</v>
      </c>
      <c r="I17" s="5">
        <v>388.9</v>
      </c>
      <c r="J17" s="5">
        <v>386.98085890423897</v>
      </c>
      <c r="K17" s="36">
        <v>148.71211889507742</v>
      </c>
      <c r="L17" s="5">
        <v>86.463090068104194</v>
      </c>
      <c r="M17" s="5">
        <v>288.83979467596436</v>
      </c>
      <c r="N17" s="5">
        <v>164.26136573299101</v>
      </c>
      <c r="O17" s="22">
        <v>995.1</v>
      </c>
      <c r="P17" s="4">
        <v>816.7</v>
      </c>
      <c r="Q17" s="4">
        <f t="shared" si="0"/>
        <v>178.39999999999998</v>
      </c>
      <c r="R17" s="4">
        <v>274.60000000000002</v>
      </c>
      <c r="S17" s="4">
        <v>227.6</v>
      </c>
      <c r="T17" s="4">
        <f t="shared" si="1"/>
        <v>47.000000000000028</v>
      </c>
      <c r="U17" s="4">
        <v>5.5</v>
      </c>
      <c r="V17" s="22">
        <v>47.7</v>
      </c>
      <c r="W17" s="4">
        <v>43</v>
      </c>
      <c r="X17" s="18">
        <v>4.7</v>
      </c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O17" s="1"/>
      <c r="AP17" s="1"/>
      <c r="AQ17" s="1"/>
    </row>
    <row r="18" spans="1:43">
      <c r="A18" s="24">
        <v>1962</v>
      </c>
      <c r="B18" s="22">
        <v>67295</v>
      </c>
      <c r="C18" s="22">
        <v>25910</v>
      </c>
      <c r="D18" s="4">
        <v>21276</v>
      </c>
      <c r="E18" s="4">
        <v>2059</v>
      </c>
      <c r="F18" s="4">
        <v>2575</v>
      </c>
      <c r="G18" s="36">
        <v>1151.2390351797449</v>
      </c>
      <c r="H18" s="5">
        <v>457.16408212078932</v>
      </c>
      <c r="I18" s="5">
        <v>359.3</v>
      </c>
      <c r="J18" s="5">
        <v>334.77495305895553</v>
      </c>
      <c r="K18" s="36">
        <v>140.3653617076076</v>
      </c>
      <c r="L18" s="5">
        <v>90.390680142580038</v>
      </c>
      <c r="M18" s="5">
        <v>257.77925360193336</v>
      </c>
      <c r="N18" s="5">
        <v>148.98931184551134</v>
      </c>
      <c r="O18" s="22">
        <v>985.7</v>
      </c>
      <c r="P18" s="4">
        <v>838.7</v>
      </c>
      <c r="Q18" s="4">
        <f t="shared" si="0"/>
        <v>147</v>
      </c>
      <c r="R18" s="4">
        <v>178.1</v>
      </c>
      <c r="S18" s="4">
        <v>175.1</v>
      </c>
      <c r="T18" s="4">
        <f t="shared" si="1"/>
        <v>3</v>
      </c>
      <c r="U18" s="4">
        <v>12.6</v>
      </c>
      <c r="V18" s="22">
        <v>47.1</v>
      </c>
      <c r="W18" s="4">
        <v>33.799999999999997</v>
      </c>
      <c r="X18" s="18">
        <v>13.3</v>
      </c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O18" s="1"/>
      <c r="AP18" s="1"/>
      <c r="AQ18" s="1"/>
    </row>
    <row r="19" spans="1:43">
      <c r="A19" s="24">
        <v>1963</v>
      </c>
      <c r="B19" s="22">
        <v>69172</v>
      </c>
      <c r="C19" s="22">
        <v>26640</v>
      </c>
      <c r="D19" s="4">
        <v>21966</v>
      </c>
      <c r="E19" s="4">
        <v>2038</v>
      </c>
      <c r="F19" s="4">
        <v>2636</v>
      </c>
      <c r="G19" s="36">
        <v>1236.3672023695822</v>
      </c>
      <c r="H19" s="5">
        <v>501.96232808451265</v>
      </c>
      <c r="I19" s="5">
        <v>407.6</v>
      </c>
      <c r="J19" s="5">
        <v>326.80487428506956</v>
      </c>
      <c r="K19" s="36">
        <v>154.69905991436207</v>
      </c>
      <c r="L19" s="5">
        <v>100.60241433621727</v>
      </c>
      <c r="M19" s="5">
        <v>295.1913267659159</v>
      </c>
      <c r="N19" s="5">
        <v>155.50440701225011</v>
      </c>
      <c r="O19" s="22">
        <v>1014.3</v>
      </c>
      <c r="P19" s="4">
        <v>844.2</v>
      </c>
      <c r="Q19" s="4">
        <f t="shared" si="0"/>
        <v>170.09999999999991</v>
      </c>
      <c r="R19" s="4">
        <v>265.3</v>
      </c>
      <c r="S19" s="4">
        <v>215.3</v>
      </c>
      <c r="T19" s="4">
        <f t="shared" si="1"/>
        <v>50</v>
      </c>
      <c r="U19" s="4">
        <v>13.5</v>
      </c>
      <c r="V19" s="22">
        <v>50</v>
      </c>
      <c r="W19" s="4">
        <v>35.700000000000003</v>
      </c>
      <c r="X19" s="18">
        <v>14.3</v>
      </c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O19" s="1"/>
      <c r="AP19" s="1"/>
      <c r="AQ19" s="1"/>
    </row>
    <row r="20" spans="1:43">
      <c r="A20" s="24">
        <v>1964</v>
      </c>
      <c r="B20" s="22">
        <v>70499</v>
      </c>
      <c r="C20" s="22">
        <v>27736</v>
      </c>
      <c r="D20" s="4">
        <v>22801</v>
      </c>
      <c r="E20" s="4">
        <v>2183</v>
      </c>
      <c r="F20" s="4">
        <v>2752</v>
      </c>
      <c r="G20" s="36">
        <v>1455.5393739564422</v>
      </c>
      <c r="H20" s="5">
        <v>564.0139525612916</v>
      </c>
      <c r="I20" s="5">
        <v>513.5</v>
      </c>
      <c r="J20" s="5">
        <v>378.0254213951506</v>
      </c>
      <c r="K20" s="36">
        <v>182.94402010023288</v>
      </c>
      <c r="L20" s="5">
        <v>113.61957001162294</v>
      </c>
      <c r="M20" s="5">
        <v>370.79005017802126</v>
      </c>
      <c r="N20" s="5">
        <v>179.62125023274152</v>
      </c>
      <c r="O20" s="22">
        <v>1078.5999999999999</v>
      </c>
      <c r="P20" s="4">
        <v>889.6</v>
      </c>
      <c r="Q20" s="4">
        <f t="shared" si="0"/>
        <v>188.99999999999989</v>
      </c>
      <c r="R20" s="4">
        <v>350.3</v>
      </c>
      <c r="S20" s="4">
        <v>290.3</v>
      </c>
      <c r="T20" s="4">
        <f t="shared" si="1"/>
        <v>60</v>
      </c>
      <c r="U20" s="4">
        <v>12.9</v>
      </c>
      <c r="V20" s="22">
        <v>55.4</v>
      </c>
      <c r="W20" s="4">
        <v>42.1</v>
      </c>
      <c r="X20" s="18">
        <v>13.3</v>
      </c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O20" s="1"/>
      <c r="AP20" s="1"/>
      <c r="AQ20" s="1"/>
    </row>
    <row r="21" spans="1:43">
      <c r="A21" s="24">
        <v>1965</v>
      </c>
      <c r="B21" s="22">
        <v>72538</v>
      </c>
      <c r="C21" s="22">
        <v>28670</v>
      </c>
      <c r="D21" s="4">
        <v>23396</v>
      </c>
      <c r="E21" s="4">
        <v>2408</v>
      </c>
      <c r="F21" s="4">
        <v>2866</v>
      </c>
      <c r="G21" s="36">
        <v>1717.2037770499346</v>
      </c>
      <c r="H21" s="5">
        <v>656.94004385090693</v>
      </c>
      <c r="I21" s="5">
        <v>602.20000000000005</v>
      </c>
      <c r="J21" s="5">
        <v>458.06373319902764</v>
      </c>
      <c r="K21" s="36">
        <v>214.10233358015947</v>
      </c>
      <c r="L21" s="5">
        <v>124.61682222015534</v>
      </c>
      <c r="M21" s="5">
        <v>460.64099193831061</v>
      </c>
      <c r="N21" s="5">
        <v>208.06018376192623</v>
      </c>
      <c r="O21" s="22">
        <v>1158.5999999999999</v>
      </c>
      <c r="P21" s="4">
        <v>951.5</v>
      </c>
      <c r="Q21" s="4">
        <f t="shared" si="0"/>
        <v>207.09999999999991</v>
      </c>
      <c r="R21" s="4">
        <v>462.1</v>
      </c>
      <c r="S21" s="4">
        <v>350.1</v>
      </c>
      <c r="T21" s="4">
        <f t="shared" si="1"/>
        <v>112</v>
      </c>
      <c r="U21" s="4">
        <v>8.5</v>
      </c>
      <c r="V21" s="22">
        <v>63.1</v>
      </c>
      <c r="W21" s="4">
        <v>55.3</v>
      </c>
      <c r="X21" s="18">
        <v>7.8</v>
      </c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O21" s="1"/>
      <c r="AP21" s="1"/>
      <c r="AQ21" s="1"/>
    </row>
    <row r="22" spans="1:43">
      <c r="A22" s="24">
        <v>1966</v>
      </c>
      <c r="B22" s="22">
        <v>74542</v>
      </c>
      <c r="C22" s="22">
        <v>29805</v>
      </c>
      <c r="D22" s="4">
        <v>24297</v>
      </c>
      <c r="E22" s="4">
        <v>2600</v>
      </c>
      <c r="F22" s="4">
        <v>2908</v>
      </c>
      <c r="G22" s="36">
        <v>1873.0786134522659</v>
      </c>
      <c r="H22" s="5">
        <v>708.49838548933633</v>
      </c>
      <c r="I22" s="5">
        <v>709.5</v>
      </c>
      <c r="J22" s="5">
        <v>455.08022796292971</v>
      </c>
      <c r="K22" s="36">
        <v>237.07412430378929</v>
      </c>
      <c r="L22" s="5">
        <v>133.62222517663213</v>
      </c>
      <c r="M22" s="5">
        <v>563.96957496264315</v>
      </c>
      <c r="N22" s="5">
        <v>204.1138471251063</v>
      </c>
      <c r="O22" s="22">
        <v>1251.3</v>
      </c>
      <c r="P22" s="4">
        <v>1021.1</v>
      </c>
      <c r="Q22" s="4">
        <f t="shared" si="0"/>
        <v>230.19999999999993</v>
      </c>
      <c r="R22" s="4">
        <v>569.79999999999995</v>
      </c>
      <c r="S22" s="4">
        <v>406.8</v>
      </c>
      <c r="T22" s="4">
        <f t="shared" si="1"/>
        <v>162.99999999999994</v>
      </c>
      <c r="U22" s="4">
        <v>6.2</v>
      </c>
      <c r="V22" s="22">
        <v>66</v>
      </c>
      <c r="W22" s="4">
        <v>61.1</v>
      </c>
      <c r="X22" s="18">
        <v>4.9000000000000004</v>
      </c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O22" s="1"/>
      <c r="AP22" s="1"/>
      <c r="AQ22" s="1"/>
    </row>
    <row r="23" spans="1:43">
      <c r="A23" s="24">
        <v>1967</v>
      </c>
      <c r="B23" s="22">
        <v>76368</v>
      </c>
      <c r="C23" s="22">
        <v>30814</v>
      </c>
      <c r="D23" s="4">
        <v>25165</v>
      </c>
      <c r="E23" s="4">
        <v>2661</v>
      </c>
      <c r="F23" s="4">
        <v>2988</v>
      </c>
      <c r="G23" s="36">
        <v>1780.2814889590097</v>
      </c>
      <c r="H23" s="5">
        <v>720.60601953358582</v>
      </c>
      <c r="I23" s="5">
        <v>602.79999999999995</v>
      </c>
      <c r="J23" s="5">
        <v>456.87546942542394</v>
      </c>
      <c r="K23" s="36">
        <v>223.5561650193705</v>
      </c>
      <c r="L23" s="5">
        <v>136.14710451022376</v>
      </c>
      <c r="M23" s="5">
        <v>483.33610050362506</v>
      </c>
      <c r="N23" s="5">
        <v>205.19465956244832</v>
      </c>
      <c r="O23" s="22">
        <v>1275.7</v>
      </c>
      <c r="P23" s="4">
        <v>1081.5</v>
      </c>
      <c r="Q23" s="4">
        <f t="shared" si="0"/>
        <v>194.20000000000005</v>
      </c>
      <c r="R23" s="4">
        <v>425.7</v>
      </c>
      <c r="S23" s="4">
        <v>323.7</v>
      </c>
      <c r="T23" s="4">
        <f t="shared" si="1"/>
        <v>102</v>
      </c>
      <c r="U23" s="4">
        <v>6.3</v>
      </c>
      <c r="V23" s="22">
        <v>58.8</v>
      </c>
      <c r="W23" s="4">
        <v>53.4</v>
      </c>
      <c r="X23" s="18">
        <v>5.4</v>
      </c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O23" s="1"/>
      <c r="AP23" s="1"/>
      <c r="AQ23" s="1"/>
    </row>
    <row r="24" spans="1:43">
      <c r="A24" s="24">
        <v>1968</v>
      </c>
      <c r="B24" s="22">
        <v>78534</v>
      </c>
      <c r="C24" s="22">
        <v>31915</v>
      </c>
      <c r="D24" s="4">
        <v>26063</v>
      </c>
      <c r="E24" s="4">
        <v>2743</v>
      </c>
      <c r="F24" s="4">
        <v>3109</v>
      </c>
      <c r="G24" s="36">
        <v>1730.164346321726</v>
      </c>
      <c r="H24" s="5">
        <v>732.81455052820411</v>
      </c>
      <c r="I24" s="5">
        <v>537.29999999999995</v>
      </c>
      <c r="J24" s="5">
        <v>460.04979579352198</v>
      </c>
      <c r="K24" s="36">
        <v>214.42280244250563</v>
      </c>
      <c r="L24" s="5">
        <v>133.95887575444436</v>
      </c>
      <c r="M24" s="5">
        <v>438.72046045713665</v>
      </c>
      <c r="N24" s="5">
        <v>206.54584087742313</v>
      </c>
      <c r="O24" s="22">
        <v>1269.0999999999999</v>
      </c>
      <c r="P24" s="4">
        <v>1076.5999999999999</v>
      </c>
      <c r="Q24" s="4">
        <f t="shared" si="0"/>
        <v>192.5</v>
      </c>
      <c r="R24" s="4">
        <v>432.2</v>
      </c>
      <c r="S24" s="4">
        <v>300.2</v>
      </c>
      <c r="T24" s="4">
        <f t="shared" si="1"/>
        <v>132</v>
      </c>
      <c r="U24" s="4">
        <v>7.4</v>
      </c>
      <c r="V24" s="22">
        <v>57.6</v>
      </c>
      <c r="W24" s="4">
        <v>50.9</v>
      </c>
      <c r="X24" s="18">
        <v>6.7</v>
      </c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O24" s="1"/>
      <c r="AP24" s="1"/>
      <c r="AQ24" s="1"/>
    </row>
    <row r="25" spans="1:43">
      <c r="A25" s="24">
        <v>1969</v>
      </c>
      <c r="B25" s="22">
        <v>80671</v>
      </c>
      <c r="C25" s="22">
        <v>33225</v>
      </c>
      <c r="D25" s="4">
        <v>27117</v>
      </c>
      <c r="E25" s="4">
        <v>3030</v>
      </c>
      <c r="F25" s="4">
        <v>3078</v>
      </c>
      <c r="G25" s="36">
        <v>1945.7811181016841</v>
      </c>
      <c r="H25" s="5">
        <v>742.80334861470999</v>
      </c>
      <c r="I25" s="5">
        <v>689.1</v>
      </c>
      <c r="J25" s="5">
        <v>513.87776948697399</v>
      </c>
      <c r="K25" s="36">
        <v>250.63578388761903</v>
      </c>
      <c r="L25" s="5">
        <v>135.08104434715176</v>
      </c>
      <c r="M25" s="5">
        <v>584.03112144188049</v>
      </c>
      <c r="N25" s="5">
        <v>234.3140021096643</v>
      </c>
      <c r="O25" s="22">
        <v>1359.4</v>
      </c>
      <c r="P25" s="4">
        <v>1127.7</v>
      </c>
      <c r="Q25" s="4">
        <f t="shared" si="0"/>
        <v>231.70000000000005</v>
      </c>
      <c r="R25" s="4">
        <v>485.9</v>
      </c>
      <c r="S25" s="4">
        <v>406.9</v>
      </c>
      <c r="T25" s="4">
        <f t="shared" si="1"/>
        <v>79</v>
      </c>
      <c r="U25" s="4">
        <v>12.4</v>
      </c>
      <c r="V25" s="22">
        <v>59.8</v>
      </c>
      <c r="W25" s="4">
        <v>47.2</v>
      </c>
      <c r="X25" s="18">
        <v>12.6</v>
      </c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O25" s="1"/>
      <c r="AP25" s="1"/>
      <c r="AQ25" s="1"/>
    </row>
    <row r="26" spans="1:43">
      <c r="A26" s="24">
        <v>1970</v>
      </c>
      <c r="B26" s="22">
        <v>82992</v>
      </c>
      <c r="C26" s="22">
        <v>34432</v>
      </c>
      <c r="D26" s="4">
        <v>27811</v>
      </c>
      <c r="E26" s="4">
        <v>3518</v>
      </c>
      <c r="F26" s="4">
        <v>3103</v>
      </c>
      <c r="G26" s="36">
        <v>2261.3240647323119</v>
      </c>
      <c r="H26" s="5">
        <v>800.41550727526408</v>
      </c>
      <c r="I26" s="5">
        <v>912.2</v>
      </c>
      <c r="J26" s="5">
        <v>548.70855745704762</v>
      </c>
      <c r="K26" s="36">
        <v>299.25965036541015</v>
      </c>
      <c r="L26" s="5">
        <v>145.48915804451278</v>
      </c>
      <c r="M26" s="5">
        <v>787.28014832032784</v>
      </c>
      <c r="N26" s="5">
        <v>250.86795361678941</v>
      </c>
      <c r="O26" s="22">
        <v>1459.7</v>
      </c>
      <c r="P26" s="4">
        <v>1206.8</v>
      </c>
      <c r="Q26" s="4">
        <f t="shared" si="0"/>
        <v>252.90000000000009</v>
      </c>
      <c r="R26" s="4">
        <v>744.9</v>
      </c>
      <c r="S26" s="4">
        <v>545.9</v>
      </c>
      <c r="T26" s="4">
        <f t="shared" si="1"/>
        <v>199</v>
      </c>
      <c r="U26" s="4">
        <v>2.4</v>
      </c>
      <c r="V26" s="22">
        <v>56.8</v>
      </c>
      <c r="W26" s="4">
        <v>56.1</v>
      </c>
      <c r="X26" s="18">
        <v>0.7</v>
      </c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O26" s="1"/>
      <c r="AP26" s="1"/>
      <c r="AQ26" s="1"/>
    </row>
    <row r="27" spans="1:43">
      <c r="A27" s="24">
        <v>1971</v>
      </c>
      <c r="B27" s="22">
        <v>85229</v>
      </c>
      <c r="C27" s="22">
        <v>35620</v>
      </c>
      <c r="D27" s="4">
        <v>28397</v>
      </c>
      <c r="E27" s="4">
        <v>3990</v>
      </c>
      <c r="F27" s="4">
        <v>3233</v>
      </c>
      <c r="G27" s="36">
        <v>2435.2567603417583</v>
      </c>
      <c r="H27" s="5">
        <v>833.71150089695027</v>
      </c>
      <c r="I27" s="5">
        <v>1022.8</v>
      </c>
      <c r="J27" s="5">
        <v>578.74525944480797</v>
      </c>
      <c r="K27" s="36">
        <v>320.35635305475898</v>
      </c>
      <c r="L27" s="5">
        <v>148.24046587440142</v>
      </c>
      <c r="M27" s="5">
        <v>884.16819553052937</v>
      </c>
      <c r="N27" s="5">
        <v>265.47188094475922</v>
      </c>
      <c r="O27" s="22">
        <v>1557.9</v>
      </c>
      <c r="P27" s="4">
        <v>1262</v>
      </c>
      <c r="Q27" s="4">
        <f t="shared" si="0"/>
        <v>295.90000000000009</v>
      </c>
      <c r="R27" s="4">
        <v>819</v>
      </c>
      <c r="S27" s="4">
        <v>603</v>
      </c>
      <c r="T27" s="4">
        <f t="shared" si="1"/>
        <v>216</v>
      </c>
      <c r="U27" s="4">
        <v>15.6</v>
      </c>
      <c r="V27" s="22">
        <v>68.5</v>
      </c>
      <c r="W27" s="4">
        <v>52.4</v>
      </c>
      <c r="X27" s="18">
        <v>16.100000000000001</v>
      </c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O27" s="1"/>
      <c r="AP27" s="1"/>
      <c r="AQ27" s="1"/>
    </row>
    <row r="28" spans="1:43">
      <c r="A28" s="24">
        <v>1972</v>
      </c>
      <c r="B28" s="22">
        <v>87177</v>
      </c>
      <c r="C28" s="22">
        <v>35854</v>
      </c>
      <c r="D28" s="4">
        <v>28283</v>
      </c>
      <c r="E28" s="4">
        <v>4276</v>
      </c>
      <c r="F28" s="4">
        <v>3295</v>
      </c>
      <c r="G28" s="36">
        <v>2530.224149001092</v>
      </c>
      <c r="H28" s="5">
        <v>834.82136735100653</v>
      </c>
      <c r="I28" s="5">
        <v>1084.2</v>
      </c>
      <c r="J28" s="5">
        <v>611.2027816500854</v>
      </c>
      <c r="K28" s="36">
        <v>332.41920320710699</v>
      </c>
      <c r="L28" s="5">
        <v>146.91983811605485</v>
      </c>
      <c r="M28" s="5">
        <v>943.57904800879896</v>
      </c>
      <c r="N28" s="5">
        <v>279.05557347089865</v>
      </c>
      <c r="O28" s="22">
        <v>1644.3</v>
      </c>
      <c r="P28" s="4">
        <v>1334.2</v>
      </c>
      <c r="Q28" s="4">
        <f t="shared" si="0"/>
        <v>310.09999999999991</v>
      </c>
      <c r="R28" s="4">
        <v>791.1</v>
      </c>
      <c r="S28" s="4">
        <v>622.1</v>
      </c>
      <c r="T28" s="4">
        <f t="shared" si="1"/>
        <v>169</v>
      </c>
      <c r="U28" s="4">
        <v>18.399999999999999</v>
      </c>
      <c r="V28" s="22">
        <v>82.9</v>
      </c>
      <c r="W28" s="4">
        <v>64</v>
      </c>
      <c r="X28" s="18">
        <v>18.899999999999999</v>
      </c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O28" s="1"/>
      <c r="AP28" s="1"/>
      <c r="AQ28" s="1"/>
    </row>
    <row r="29" spans="1:43">
      <c r="A29" s="24">
        <v>1973</v>
      </c>
      <c r="B29" s="22">
        <v>89211</v>
      </c>
      <c r="C29" s="22">
        <v>36652</v>
      </c>
      <c r="D29" s="4">
        <v>28857</v>
      </c>
      <c r="E29" s="4">
        <v>4492</v>
      </c>
      <c r="F29" s="4">
        <v>3303</v>
      </c>
      <c r="G29" s="36">
        <v>2733.3537485935872</v>
      </c>
      <c r="H29" s="5">
        <v>915.63982459637236</v>
      </c>
      <c r="I29" s="5">
        <v>1173</v>
      </c>
      <c r="J29" s="5">
        <v>644.71392399721481</v>
      </c>
      <c r="K29" s="36">
        <v>358.53766510084745</v>
      </c>
      <c r="L29" s="5">
        <v>160.14445775171978</v>
      </c>
      <c r="M29" s="5">
        <v>1022.0739097860479</v>
      </c>
      <c r="N29" s="5">
        <v>294.34671680336442</v>
      </c>
      <c r="O29" s="22">
        <v>1751.3</v>
      </c>
      <c r="P29" s="4">
        <v>1432.5</v>
      </c>
      <c r="Q29" s="4">
        <f t="shared" si="0"/>
        <v>318.79999999999995</v>
      </c>
      <c r="R29" s="4">
        <v>903.5</v>
      </c>
      <c r="S29" s="4">
        <v>664.5</v>
      </c>
      <c r="T29" s="4">
        <f t="shared" si="1"/>
        <v>239</v>
      </c>
      <c r="U29" s="4">
        <v>14.8</v>
      </c>
      <c r="V29" s="22">
        <v>116.9</v>
      </c>
      <c r="W29" s="4">
        <v>103.6</v>
      </c>
      <c r="X29" s="18">
        <v>13.3</v>
      </c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O29" s="1"/>
      <c r="AP29" s="1"/>
      <c r="AQ29" s="1"/>
    </row>
    <row r="30" spans="1:43">
      <c r="A30" s="24">
        <v>1974</v>
      </c>
      <c r="B30" s="22">
        <v>90859</v>
      </c>
      <c r="C30" s="22">
        <v>37369</v>
      </c>
      <c r="D30" s="4">
        <v>29218</v>
      </c>
      <c r="E30" s="4">
        <v>4712</v>
      </c>
      <c r="F30" s="4">
        <v>3439</v>
      </c>
      <c r="G30" s="36">
        <v>2803.7425703395179</v>
      </c>
      <c r="H30" s="5">
        <v>953.67797488538974</v>
      </c>
      <c r="I30" s="5">
        <v>1192</v>
      </c>
      <c r="J30" s="5">
        <v>658.06459545412827</v>
      </c>
      <c r="K30" s="36">
        <v>366.81426823401142</v>
      </c>
      <c r="L30" s="5">
        <v>166.69257038685481</v>
      </c>
      <c r="M30" s="5">
        <v>1036.4085050060958</v>
      </c>
      <c r="N30" s="5">
        <v>298.83752014167845</v>
      </c>
      <c r="O30" s="22">
        <v>1809.6</v>
      </c>
      <c r="P30" s="4">
        <v>1467</v>
      </c>
      <c r="Q30" s="4">
        <f t="shared" si="0"/>
        <v>342.59999999999991</v>
      </c>
      <c r="R30" s="4">
        <v>936.1</v>
      </c>
      <c r="S30" s="4">
        <v>748.1</v>
      </c>
      <c r="T30" s="4">
        <f t="shared" si="1"/>
        <v>188</v>
      </c>
      <c r="U30" s="4">
        <v>-7</v>
      </c>
      <c r="V30" s="22">
        <v>139.4</v>
      </c>
      <c r="W30" s="4">
        <v>152.80000000000001</v>
      </c>
      <c r="X30" s="18">
        <v>-13.4</v>
      </c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O30" s="1"/>
      <c r="AP30" s="1"/>
      <c r="AQ30" s="1"/>
    </row>
    <row r="31" spans="1:43">
      <c r="A31" s="24">
        <v>1975</v>
      </c>
      <c r="B31" s="22">
        <v>92420</v>
      </c>
      <c r="C31" s="22">
        <v>38168</v>
      </c>
      <c r="D31" s="4">
        <v>29456</v>
      </c>
      <c r="E31" s="4">
        <v>5152</v>
      </c>
      <c r="F31" s="4">
        <v>3560</v>
      </c>
      <c r="G31" s="36">
        <v>3013.1108333419115</v>
      </c>
      <c r="H31" s="5">
        <v>979.81028503089499</v>
      </c>
      <c r="I31" s="5">
        <v>1370.5</v>
      </c>
      <c r="J31" s="5">
        <v>662.80054831101643</v>
      </c>
      <c r="K31" s="36">
        <v>398.69845365871993</v>
      </c>
      <c r="L31" s="5">
        <v>170.0858500437175</v>
      </c>
      <c r="M31" s="5">
        <v>1200.2201142376043</v>
      </c>
      <c r="N31" s="5">
        <v>313.51950028918492</v>
      </c>
      <c r="O31" s="22">
        <v>1887.4</v>
      </c>
      <c r="P31" s="4">
        <v>1528.5</v>
      </c>
      <c r="Q31" s="4">
        <f t="shared" si="0"/>
        <v>358.90000000000009</v>
      </c>
      <c r="R31" s="4">
        <v>1062.3</v>
      </c>
      <c r="S31" s="4">
        <v>880.3</v>
      </c>
      <c r="T31" s="4">
        <f t="shared" si="1"/>
        <v>182</v>
      </c>
      <c r="U31" s="4">
        <v>0.7</v>
      </c>
      <c r="V31" s="22">
        <v>143</v>
      </c>
      <c r="W31" s="4">
        <v>147.4</v>
      </c>
      <c r="X31" s="18">
        <v>-4.4000000000000004</v>
      </c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O31" s="1"/>
      <c r="AP31" s="1"/>
      <c r="AQ31" s="1"/>
    </row>
    <row r="32" spans="1:43">
      <c r="A32" s="24">
        <v>1976</v>
      </c>
      <c r="B32" s="22">
        <v>93717</v>
      </c>
      <c r="C32" s="22">
        <v>38834</v>
      </c>
      <c r="D32" s="4">
        <v>29443</v>
      </c>
      <c r="E32" s="4">
        <v>5611</v>
      </c>
      <c r="F32" s="4">
        <v>3780</v>
      </c>
      <c r="G32" s="36">
        <v>2961.4726575808982</v>
      </c>
      <c r="H32" s="5">
        <v>975.67351006577633</v>
      </c>
      <c r="I32" s="5">
        <v>1337.2</v>
      </c>
      <c r="J32" s="5">
        <v>648.59914751512179</v>
      </c>
      <c r="K32" s="36">
        <v>392.24190611021635</v>
      </c>
      <c r="L32" s="5">
        <v>167.07775348303923</v>
      </c>
      <c r="M32" s="5">
        <v>1170.2556290487094</v>
      </c>
      <c r="N32" s="5">
        <v>314.7491301388697</v>
      </c>
      <c r="O32" s="22">
        <v>1969.5</v>
      </c>
      <c r="P32" s="4">
        <v>1588.5</v>
      </c>
      <c r="Q32" s="4">
        <f t="shared" si="0"/>
        <v>381</v>
      </c>
      <c r="R32" s="4">
        <v>990.1</v>
      </c>
      <c r="S32" s="4">
        <v>865.1</v>
      </c>
      <c r="T32" s="4">
        <f t="shared" si="1"/>
        <v>125</v>
      </c>
      <c r="U32" s="4">
        <v>8.6999999999999993</v>
      </c>
      <c r="V32" s="22">
        <v>134.80000000000001</v>
      </c>
      <c r="W32" s="4">
        <v>129.30000000000001</v>
      </c>
      <c r="X32" s="18">
        <v>5.5</v>
      </c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O32" s="1"/>
      <c r="AP32" s="1"/>
      <c r="AQ32" s="1"/>
    </row>
    <row r="33" spans="1:43">
      <c r="A33" s="24">
        <v>1977</v>
      </c>
      <c r="B33" s="22">
        <v>94974</v>
      </c>
      <c r="C33" s="22">
        <v>39377</v>
      </c>
      <c r="D33" s="4">
        <v>29340</v>
      </c>
      <c r="E33" s="4">
        <v>5831</v>
      </c>
      <c r="F33" s="4">
        <v>4206</v>
      </c>
      <c r="G33" s="36">
        <v>3221.0517728111718</v>
      </c>
      <c r="H33" s="5">
        <v>950.55016942395855</v>
      </c>
      <c r="I33" s="5">
        <v>1509.1</v>
      </c>
      <c r="J33" s="5">
        <v>761.40160338721353</v>
      </c>
      <c r="K33" s="36">
        <v>422.12004486862031</v>
      </c>
      <c r="L33" s="5">
        <v>163.37265893878916</v>
      </c>
      <c r="M33" s="5">
        <v>1325.777351887901</v>
      </c>
      <c r="N33" s="5">
        <v>345.00441971789331</v>
      </c>
      <c r="O33" s="22">
        <v>2057.8000000000002</v>
      </c>
      <c r="P33" s="4">
        <v>1647.8</v>
      </c>
      <c r="Q33" s="4">
        <f t="shared" si="0"/>
        <v>410.00000000000023</v>
      </c>
      <c r="R33" s="4">
        <v>1098.0999999999999</v>
      </c>
      <c r="S33" s="4">
        <v>911.1</v>
      </c>
      <c r="T33" s="4">
        <f t="shared" si="1"/>
        <v>186.99999999999989</v>
      </c>
      <c r="U33" s="4">
        <v>10.1</v>
      </c>
      <c r="V33" s="22">
        <v>139.69999999999999</v>
      </c>
      <c r="W33" s="4">
        <v>132.80000000000001</v>
      </c>
      <c r="X33" s="18">
        <v>6.9</v>
      </c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O33" s="1"/>
      <c r="AP33" s="1"/>
      <c r="AQ33" s="1"/>
    </row>
    <row r="34" spans="1:43">
      <c r="A34" s="24">
        <v>1978</v>
      </c>
      <c r="B34" s="22">
        <v>96259</v>
      </c>
      <c r="C34" s="22">
        <v>40152</v>
      </c>
      <c r="D34" s="4">
        <v>28318</v>
      </c>
      <c r="E34" s="4">
        <v>6945</v>
      </c>
      <c r="F34" s="4">
        <v>4890</v>
      </c>
      <c r="G34" s="36">
        <v>3645.2174740458895</v>
      </c>
      <c r="H34" s="5">
        <v>1027.5345425553119</v>
      </c>
      <c r="I34" s="5">
        <v>1745.2</v>
      </c>
      <c r="J34" s="5">
        <v>872.48293149057758</v>
      </c>
      <c r="K34" s="36">
        <v>471.38111134979488</v>
      </c>
      <c r="L34" s="5">
        <v>170.14087620031529</v>
      </c>
      <c r="M34" s="5">
        <v>1525.1663902197686</v>
      </c>
      <c r="N34" s="5">
        <v>392.65646359857124</v>
      </c>
      <c r="O34" s="22">
        <v>2239.1</v>
      </c>
      <c r="P34" s="4">
        <v>1759.1</v>
      </c>
      <c r="Q34" s="4">
        <v>480</v>
      </c>
      <c r="R34" s="4">
        <v>1377.9</v>
      </c>
      <c r="S34" s="4">
        <v>1073.9000000000001</v>
      </c>
      <c r="T34" s="4">
        <v>304</v>
      </c>
      <c r="U34" s="4">
        <v>-11.4</v>
      </c>
      <c r="V34" s="22">
        <v>167.6</v>
      </c>
      <c r="W34" s="4">
        <v>187.4</v>
      </c>
      <c r="X34" s="18">
        <v>-19.8</v>
      </c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O34" s="1"/>
      <c r="AP34" s="1"/>
      <c r="AQ34" s="1"/>
    </row>
    <row r="35" spans="1:43">
      <c r="A35" s="24">
        <v>1979</v>
      </c>
      <c r="B35" s="22">
        <v>97542</v>
      </c>
      <c r="C35" s="22">
        <v>41024</v>
      </c>
      <c r="D35" s="4">
        <v>28634</v>
      </c>
      <c r="E35" s="4">
        <v>7214</v>
      </c>
      <c r="F35" s="4">
        <v>5177</v>
      </c>
      <c r="G35" s="36">
        <v>4062.5791908646165</v>
      </c>
      <c r="H35" s="5">
        <v>1270.1917081921467</v>
      </c>
      <c r="I35" s="5">
        <v>1913.5</v>
      </c>
      <c r="J35" s="5">
        <v>878.88748267246956</v>
      </c>
      <c r="K35" s="36">
        <v>507.07811394820817</v>
      </c>
      <c r="L35" s="5">
        <v>180.57750390169298</v>
      </c>
      <c r="M35" s="5">
        <v>1650.2055099705456</v>
      </c>
      <c r="N35" s="5">
        <v>423.51452376048672</v>
      </c>
      <c r="O35" s="22">
        <v>2633.7</v>
      </c>
      <c r="P35" s="4">
        <v>2011.5</v>
      </c>
      <c r="Q35" s="4">
        <v>622.20000000000005</v>
      </c>
      <c r="R35" s="4">
        <v>1478.9</v>
      </c>
      <c r="S35" s="4">
        <v>1153.0999999999999</v>
      </c>
      <c r="T35" s="4">
        <v>325.8</v>
      </c>
      <c r="U35" s="4">
        <v>-20</v>
      </c>
      <c r="V35" s="22">
        <v>211.7</v>
      </c>
      <c r="W35" s="4">
        <v>242.9</v>
      </c>
      <c r="X35" s="18">
        <v>-31.2</v>
      </c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O35" s="1"/>
      <c r="AP35" s="1"/>
      <c r="AQ35" s="1"/>
    </row>
    <row r="36" spans="1:43">
      <c r="A36" s="24">
        <v>1980</v>
      </c>
      <c r="B36" s="22">
        <v>98705</v>
      </c>
      <c r="C36" s="22">
        <v>42361</v>
      </c>
      <c r="D36" s="4">
        <v>29122</v>
      </c>
      <c r="E36" s="4">
        <v>7707</v>
      </c>
      <c r="F36" s="4">
        <v>5532</v>
      </c>
      <c r="G36" s="36">
        <v>4545.6239733557295</v>
      </c>
      <c r="H36" s="5">
        <v>1371.5931433127369</v>
      </c>
      <c r="I36" s="5">
        <v>2192</v>
      </c>
      <c r="J36" s="5">
        <v>982.03083004299242</v>
      </c>
      <c r="K36" s="36">
        <v>546.84035018827171</v>
      </c>
      <c r="L36" s="5">
        <v>177.89956428060131</v>
      </c>
      <c r="M36" s="5">
        <v>1874.1187955463504</v>
      </c>
      <c r="N36" s="5">
        <v>448.91896866894814</v>
      </c>
      <c r="O36" s="22">
        <v>3007.9</v>
      </c>
      <c r="P36" s="4">
        <v>2331.1999999999998</v>
      </c>
      <c r="Q36" s="4">
        <v>676.7</v>
      </c>
      <c r="R36" s="4">
        <v>1599.7</v>
      </c>
      <c r="S36" s="4">
        <v>1322.4</v>
      </c>
      <c r="T36" s="4">
        <v>277.3</v>
      </c>
      <c r="U36" s="4">
        <v>-14.7</v>
      </c>
      <c r="V36" s="22">
        <v>271.2</v>
      </c>
      <c r="W36" s="4">
        <v>298.8</v>
      </c>
      <c r="X36" s="18">
        <v>-27.6</v>
      </c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O36" s="1"/>
      <c r="AP36" s="1"/>
      <c r="AQ36" s="1"/>
    </row>
    <row r="37" spans="1:43">
      <c r="A37" s="24">
        <v>1981</v>
      </c>
      <c r="B37" s="22">
        <v>100072</v>
      </c>
      <c r="C37" s="22">
        <v>43725</v>
      </c>
      <c r="D37" s="4">
        <v>29777</v>
      </c>
      <c r="E37" s="4">
        <v>8003</v>
      </c>
      <c r="F37" s="4">
        <v>5945</v>
      </c>
      <c r="G37" s="36">
        <v>4891.5610619395911</v>
      </c>
      <c r="H37" s="5">
        <v>1559.4632648993422</v>
      </c>
      <c r="I37" s="5">
        <v>2255.5</v>
      </c>
      <c r="J37" s="5">
        <v>1076.5977970402491</v>
      </c>
      <c r="K37" s="36">
        <v>575.51178867643716</v>
      </c>
      <c r="L37" s="5">
        <v>190.32196152534209</v>
      </c>
      <c r="M37" s="5">
        <v>1909.0881215859565</v>
      </c>
      <c r="N37" s="5">
        <v>495.69874376808548</v>
      </c>
      <c r="O37" s="22">
        <v>3361.5</v>
      </c>
      <c r="P37" s="4">
        <v>2627.9</v>
      </c>
      <c r="Q37" s="4">
        <v>733.6</v>
      </c>
      <c r="R37" s="4">
        <v>1630.2</v>
      </c>
      <c r="S37" s="4">
        <v>1339.3</v>
      </c>
      <c r="T37" s="4">
        <v>290.89999999999998</v>
      </c>
      <c r="U37" s="4">
        <v>17.100000000000001</v>
      </c>
      <c r="V37" s="22">
        <v>367.6</v>
      </c>
      <c r="W37" s="4">
        <v>367.7</v>
      </c>
      <c r="X37" s="18">
        <v>-9.9999999999965894E-2</v>
      </c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O37" s="1"/>
      <c r="AP37" s="1"/>
      <c r="AQ37" s="1"/>
    </row>
    <row r="38" spans="1:43">
      <c r="A38" s="24">
        <v>1982</v>
      </c>
      <c r="B38" s="22">
        <v>101654</v>
      </c>
      <c r="C38" s="22">
        <v>45295</v>
      </c>
      <c r="D38" s="4">
        <v>30859</v>
      </c>
      <c r="E38" s="4">
        <v>8346</v>
      </c>
      <c r="F38" s="4">
        <v>6090</v>
      </c>
      <c r="G38" s="36">
        <v>5323.3509646743742</v>
      </c>
      <c r="H38" s="5">
        <v>1777.400677695834</v>
      </c>
      <c r="I38" s="5">
        <v>2383</v>
      </c>
      <c r="J38" s="5">
        <v>1162.9502869785401</v>
      </c>
      <c r="K38" s="36">
        <v>627.63514699688506</v>
      </c>
      <c r="L38" s="5">
        <v>212.26432675203355</v>
      </c>
      <c r="M38" s="5">
        <v>2015.2661720790943</v>
      </c>
      <c r="N38" s="5">
        <v>560.01757504315583</v>
      </c>
      <c r="O38" s="22">
        <v>3714.8</v>
      </c>
      <c r="P38" s="4">
        <v>2902.9</v>
      </c>
      <c r="Q38" s="4">
        <v>811.9</v>
      </c>
      <c r="R38" s="4">
        <v>1784.2</v>
      </c>
      <c r="S38" s="4">
        <v>1503.2</v>
      </c>
      <c r="T38" s="4">
        <v>281</v>
      </c>
      <c r="U38" s="4">
        <v>91</v>
      </c>
      <c r="V38" s="22">
        <v>413.8</v>
      </c>
      <c r="W38" s="4">
        <v>357.5</v>
      </c>
      <c r="X38" s="18">
        <v>56.3</v>
      </c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O38" s="1"/>
      <c r="AP38" s="1"/>
      <c r="AQ38" s="1"/>
    </row>
    <row r="39" spans="1:43">
      <c r="A39" s="24">
        <v>1983</v>
      </c>
      <c r="B39" s="22">
        <v>103008</v>
      </c>
      <c r="C39" s="22">
        <v>46436</v>
      </c>
      <c r="D39" s="4">
        <v>31151</v>
      </c>
      <c r="E39" s="4">
        <v>8679</v>
      </c>
      <c r="F39" s="4">
        <v>6606</v>
      </c>
      <c r="G39" s="36">
        <v>5962.6515683940679</v>
      </c>
      <c r="H39" s="5">
        <v>1978.3874028303767</v>
      </c>
      <c r="I39" s="5">
        <v>2646.2</v>
      </c>
      <c r="J39" s="5">
        <v>1338.0641655636914</v>
      </c>
      <c r="K39" s="36">
        <v>695.75225973077306</v>
      </c>
      <c r="L39" s="5">
        <v>229.93689604102082</v>
      </c>
      <c r="M39" s="5">
        <v>2224.1507419088971</v>
      </c>
      <c r="N39" s="5">
        <v>644.98947007600543</v>
      </c>
      <c r="O39" s="22">
        <v>4126.3999999999996</v>
      </c>
      <c r="P39" s="4">
        <v>3231.1</v>
      </c>
      <c r="Q39" s="4">
        <v>895.3</v>
      </c>
      <c r="R39" s="4">
        <v>2039</v>
      </c>
      <c r="S39" s="4">
        <v>1723.3</v>
      </c>
      <c r="T39" s="4">
        <v>315.7</v>
      </c>
      <c r="U39" s="4">
        <v>50.8</v>
      </c>
      <c r="V39" s="22">
        <v>438.3</v>
      </c>
      <c r="W39" s="4">
        <v>421.8</v>
      </c>
      <c r="X39" s="18">
        <v>16.5</v>
      </c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O39" s="1"/>
      <c r="AP39" s="1"/>
      <c r="AQ39" s="1"/>
    </row>
    <row r="40" spans="1:43">
      <c r="A40" s="24">
        <v>1984</v>
      </c>
      <c r="B40" s="22">
        <v>104357</v>
      </c>
      <c r="C40" s="22">
        <v>48197</v>
      </c>
      <c r="D40" s="4">
        <v>30868</v>
      </c>
      <c r="E40" s="4">
        <v>9590</v>
      </c>
      <c r="F40" s="4">
        <v>7739</v>
      </c>
      <c r="G40" s="36">
        <v>7208.0517183600787</v>
      </c>
      <c r="H40" s="5">
        <v>2316.0894957145706</v>
      </c>
      <c r="I40" s="5">
        <v>3105.7</v>
      </c>
      <c r="J40" s="5">
        <v>1786.2622226455087</v>
      </c>
      <c r="K40" s="36">
        <v>801.3397701548314</v>
      </c>
      <c r="L40" s="5">
        <v>259.55457420709001</v>
      </c>
      <c r="M40" s="5">
        <v>2546.2410960364073</v>
      </c>
      <c r="N40" s="5">
        <v>769.78970874571326</v>
      </c>
      <c r="O40" s="22">
        <v>4846.3</v>
      </c>
      <c r="P40" s="4">
        <v>3742</v>
      </c>
      <c r="Q40" s="4">
        <v>1104.3</v>
      </c>
      <c r="R40" s="4">
        <v>2515.1</v>
      </c>
      <c r="S40" s="4">
        <v>2147</v>
      </c>
      <c r="T40" s="4">
        <v>368.1</v>
      </c>
      <c r="U40" s="4">
        <v>1.3</v>
      </c>
      <c r="V40" s="22">
        <v>580.5</v>
      </c>
      <c r="W40" s="4">
        <v>620.5</v>
      </c>
      <c r="X40" s="18">
        <v>-40</v>
      </c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O40" s="1"/>
      <c r="AP40" s="1"/>
      <c r="AQ40" s="1"/>
    </row>
    <row r="41" spans="1:43">
      <c r="A41" s="24">
        <v>1985</v>
      </c>
      <c r="B41" s="22">
        <v>105851</v>
      </c>
      <c r="C41" s="22">
        <v>49873</v>
      </c>
      <c r="D41" s="4">
        <v>31130</v>
      </c>
      <c r="E41" s="4">
        <v>10384</v>
      </c>
      <c r="F41" s="4">
        <v>8359</v>
      </c>
      <c r="G41" s="36">
        <v>9016.0365806124828</v>
      </c>
      <c r="H41" s="5">
        <v>2564.3968905720549</v>
      </c>
      <c r="I41" s="5">
        <v>3866.6</v>
      </c>
      <c r="J41" s="5">
        <v>2585.039690040428</v>
      </c>
      <c r="K41" s="36">
        <v>909.24972695329643</v>
      </c>
      <c r="L41" s="5">
        <v>264.34035756929023</v>
      </c>
      <c r="M41" s="5">
        <v>3019.046705249872</v>
      </c>
      <c r="N41" s="5">
        <v>909.59438014872194</v>
      </c>
      <c r="O41" s="22">
        <v>5986.3</v>
      </c>
      <c r="P41" s="4">
        <v>4687.3999999999996</v>
      </c>
      <c r="Q41" s="4">
        <v>1298.9000000000001</v>
      </c>
      <c r="R41" s="4">
        <v>3457.5</v>
      </c>
      <c r="S41" s="4">
        <v>2672</v>
      </c>
      <c r="T41" s="4">
        <v>785.5</v>
      </c>
      <c r="U41" s="4">
        <v>-367.1</v>
      </c>
      <c r="V41" s="22">
        <v>808.9</v>
      </c>
      <c r="W41" s="4">
        <v>1257.8</v>
      </c>
      <c r="X41" s="18">
        <v>-448.9</v>
      </c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O41" s="1"/>
      <c r="AP41" s="1"/>
      <c r="AQ41" s="1"/>
    </row>
    <row r="42" spans="1:43">
      <c r="A42" s="24">
        <v>1986</v>
      </c>
      <c r="B42" s="22">
        <v>107507</v>
      </c>
      <c r="C42" s="22">
        <v>51282</v>
      </c>
      <c r="D42" s="4">
        <v>31254</v>
      </c>
      <c r="E42" s="4">
        <v>11216</v>
      </c>
      <c r="F42" s="4">
        <v>8811</v>
      </c>
      <c r="G42" s="36">
        <v>10275.179216424738</v>
      </c>
      <c r="H42" s="5">
        <v>2788.6908112417782</v>
      </c>
      <c r="I42" s="5">
        <v>4492.7</v>
      </c>
      <c r="J42" s="5">
        <v>2993.7884051829597</v>
      </c>
      <c r="K42" s="36">
        <v>989.68538256999136</v>
      </c>
      <c r="L42" s="5">
        <v>273.11214378572191</v>
      </c>
      <c r="M42" s="5">
        <v>3327.5896207179717</v>
      </c>
      <c r="N42" s="5">
        <v>1019.1492755516603</v>
      </c>
      <c r="O42" s="22">
        <v>6821.8</v>
      </c>
      <c r="P42" s="4">
        <v>5302.1</v>
      </c>
      <c r="Q42" s="4">
        <v>1519.7</v>
      </c>
      <c r="R42" s="4">
        <v>3941.9</v>
      </c>
      <c r="S42" s="4">
        <v>3139.7</v>
      </c>
      <c r="T42" s="4">
        <v>802.2</v>
      </c>
      <c r="U42" s="4">
        <v>-255.2</v>
      </c>
      <c r="V42" s="36">
        <v>1082.0999999999999</v>
      </c>
      <c r="W42" s="5">
        <v>1498.3</v>
      </c>
      <c r="X42" s="58">
        <v>-416.2</v>
      </c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O42" s="1"/>
      <c r="AP42" s="1"/>
      <c r="AQ42" s="1"/>
    </row>
    <row r="43" spans="1:43">
      <c r="A43" s="24">
        <v>1987</v>
      </c>
      <c r="B43" s="22">
        <v>109300</v>
      </c>
      <c r="C43" s="22">
        <v>52783</v>
      </c>
      <c r="D43" s="4">
        <v>31663</v>
      </c>
      <c r="E43" s="4">
        <v>11726</v>
      </c>
      <c r="F43" s="4">
        <v>9395</v>
      </c>
      <c r="G43" s="36">
        <v>12058.615125134151</v>
      </c>
      <c r="H43" s="5">
        <v>3233.0409806657367</v>
      </c>
      <c r="I43" s="5">
        <v>5251.6</v>
      </c>
      <c r="J43" s="5">
        <v>3573.9741444684132</v>
      </c>
      <c r="K43" s="36">
        <v>1104.3232510303976</v>
      </c>
      <c r="L43" s="5">
        <v>285.96023065567169</v>
      </c>
      <c r="M43" s="5">
        <v>3783.2915886239284</v>
      </c>
      <c r="N43" s="5">
        <v>1165.457817279316</v>
      </c>
      <c r="O43" s="22">
        <v>7804.6</v>
      </c>
      <c r="P43" s="4">
        <v>6126.1</v>
      </c>
      <c r="Q43" s="4">
        <v>1678.5</v>
      </c>
      <c r="R43" s="4">
        <v>4462</v>
      </c>
      <c r="S43" s="4">
        <v>3798.7</v>
      </c>
      <c r="T43" s="4">
        <v>663.3</v>
      </c>
      <c r="U43" s="4">
        <v>10.8</v>
      </c>
      <c r="V43" s="36">
        <v>1470</v>
      </c>
      <c r="W43" s="5">
        <v>1614.2</v>
      </c>
      <c r="X43" s="58">
        <v>-144.19999999999999</v>
      </c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O43" s="1"/>
      <c r="AP43" s="1"/>
      <c r="AQ43" s="1"/>
    </row>
    <row r="44" spans="1:43">
      <c r="A44" s="24">
        <v>1988</v>
      </c>
      <c r="B44" s="22">
        <v>111026</v>
      </c>
      <c r="C44" s="22">
        <v>54334</v>
      </c>
      <c r="D44" s="42">
        <v>32249</v>
      </c>
      <c r="E44" s="42">
        <v>12152</v>
      </c>
      <c r="F44" s="42">
        <v>9933</v>
      </c>
      <c r="G44" s="36">
        <v>15042.823010095724</v>
      </c>
      <c r="H44" s="5">
        <v>3865.3621686266692</v>
      </c>
      <c r="I44" s="5">
        <v>6587.2</v>
      </c>
      <c r="J44" s="5">
        <v>4590.2608414690558</v>
      </c>
      <c r="K44" s="36">
        <v>1228.8973591338838</v>
      </c>
      <c r="L44" s="5">
        <v>293.23565334106496</v>
      </c>
      <c r="M44" s="5">
        <v>4332.5555547714466</v>
      </c>
      <c r="N44" s="5">
        <v>1318.8295554743549</v>
      </c>
      <c r="O44" s="22">
        <v>9839.5</v>
      </c>
      <c r="P44" s="4">
        <v>7868.1</v>
      </c>
      <c r="Q44" s="4">
        <v>1971.4</v>
      </c>
      <c r="R44" s="4">
        <v>5700.2</v>
      </c>
      <c r="S44" s="4">
        <v>4701.8999999999996</v>
      </c>
      <c r="T44" s="4">
        <v>998.3</v>
      </c>
      <c r="U44" s="4">
        <v>-151.1</v>
      </c>
      <c r="V44" s="36">
        <v>1766.7</v>
      </c>
      <c r="W44" s="5">
        <v>2055.1</v>
      </c>
      <c r="X44" s="58">
        <v>-288.39999999999998</v>
      </c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O44" s="1"/>
      <c r="AP44" s="1"/>
      <c r="AQ44" s="1"/>
    </row>
    <row r="45" spans="1:43">
      <c r="A45" s="24">
        <v>1989</v>
      </c>
      <c r="B45" s="22">
        <v>112704</v>
      </c>
      <c r="C45" s="22">
        <v>55329</v>
      </c>
      <c r="D45" s="42">
        <v>33225</v>
      </c>
      <c r="E45" s="42">
        <v>11976</v>
      </c>
      <c r="F45" s="42">
        <v>10129</v>
      </c>
      <c r="G45" s="36">
        <v>16992.319107226751</v>
      </c>
      <c r="H45" s="5">
        <v>4265.9230615905917</v>
      </c>
      <c r="I45" s="5">
        <v>7278</v>
      </c>
      <c r="J45" s="5">
        <v>5448.3960456361601</v>
      </c>
      <c r="K45" s="36">
        <v>1278.8299561836284</v>
      </c>
      <c r="L45" s="5">
        <v>302.25253358413221</v>
      </c>
      <c r="M45" s="5">
        <v>4495.8021906173553</v>
      </c>
      <c r="N45" s="5">
        <v>1389.5218047052413</v>
      </c>
      <c r="O45" s="22">
        <v>11164.2</v>
      </c>
      <c r="P45" s="4">
        <v>8812.6</v>
      </c>
      <c r="Q45" s="4">
        <v>2351.6</v>
      </c>
      <c r="R45" s="4">
        <v>6332.7</v>
      </c>
      <c r="S45" s="4">
        <v>4419.3999999999996</v>
      </c>
      <c r="T45" s="4">
        <v>1913.3</v>
      </c>
      <c r="U45" s="4">
        <v>-185.6</v>
      </c>
      <c r="V45" s="36">
        <v>1956</v>
      </c>
      <c r="W45" s="5">
        <v>2199.9</v>
      </c>
      <c r="X45" s="58">
        <v>-243.9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O45" s="1"/>
      <c r="AP45" s="1"/>
      <c r="AQ45" s="1"/>
    </row>
    <row r="46" spans="1:43">
      <c r="A46" s="24">
        <v>1990</v>
      </c>
      <c r="B46" s="22">
        <v>114333</v>
      </c>
      <c r="C46" s="22">
        <v>64749</v>
      </c>
      <c r="D46" s="42">
        <v>38914.148999999998</v>
      </c>
      <c r="E46" s="42">
        <v>13856.285999999998</v>
      </c>
      <c r="F46" s="42">
        <v>11978.565000000001</v>
      </c>
      <c r="G46" s="36">
        <v>18667.822376105862</v>
      </c>
      <c r="H46" s="5">
        <v>5062</v>
      </c>
      <c r="I46" s="5">
        <v>7717.4</v>
      </c>
      <c r="J46" s="5">
        <v>5888.422376105862</v>
      </c>
      <c r="K46" s="36">
        <v>1327.9245571188962</v>
      </c>
      <c r="L46" s="5">
        <v>324.40129378062215</v>
      </c>
      <c r="M46" s="5">
        <v>4638.3043110160424</v>
      </c>
      <c r="N46" s="5">
        <v>1421.9651494699929</v>
      </c>
      <c r="O46" s="22">
        <v>12090.5</v>
      </c>
      <c r="P46" s="4">
        <v>9450.9</v>
      </c>
      <c r="Q46" s="4">
        <v>2639.6</v>
      </c>
      <c r="R46" s="4">
        <v>6747</v>
      </c>
      <c r="S46" s="4">
        <v>4827.8</v>
      </c>
      <c r="T46" s="4">
        <v>1919.2</v>
      </c>
      <c r="U46" s="4">
        <v>510.3</v>
      </c>
      <c r="V46" s="36">
        <v>2985.8</v>
      </c>
      <c r="W46" s="5">
        <v>2574.3000000000002</v>
      </c>
      <c r="X46" s="58">
        <v>411.5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O46" s="1"/>
      <c r="AP46" s="1"/>
      <c r="AQ46" s="1"/>
    </row>
    <row r="47" spans="1:43">
      <c r="A47" s="24">
        <v>1991</v>
      </c>
      <c r="B47" s="22">
        <v>115823</v>
      </c>
      <c r="C47" s="22">
        <v>65491</v>
      </c>
      <c r="D47" s="42">
        <v>39098.127</v>
      </c>
      <c r="E47" s="42">
        <v>14015.073999999999</v>
      </c>
      <c r="F47" s="42">
        <v>12377.798999999999</v>
      </c>
      <c r="G47" s="36">
        <v>21781.499410788158</v>
      </c>
      <c r="H47" s="5">
        <v>5342.2</v>
      </c>
      <c r="I47" s="5">
        <v>9102.2000000000007</v>
      </c>
      <c r="J47" s="5">
        <v>7337.0994107881561</v>
      </c>
      <c r="K47" s="36">
        <v>1449.8139116277584</v>
      </c>
      <c r="L47" s="5">
        <v>332.18640754805028</v>
      </c>
      <c r="M47" s="5">
        <v>5280.9138646660231</v>
      </c>
      <c r="N47" s="5">
        <v>1548.1314500396913</v>
      </c>
      <c r="O47" s="22">
        <v>14091.9</v>
      </c>
      <c r="P47" s="4">
        <v>10730.6</v>
      </c>
      <c r="Q47" s="4">
        <v>3361.3</v>
      </c>
      <c r="R47" s="4">
        <v>7868</v>
      </c>
      <c r="S47" s="4">
        <v>6070.3</v>
      </c>
      <c r="T47" s="4">
        <v>1797.7</v>
      </c>
      <c r="U47" s="4">
        <v>617.5</v>
      </c>
      <c r="V47" s="36">
        <v>3827.1</v>
      </c>
      <c r="W47" s="5">
        <v>3398.7</v>
      </c>
      <c r="X47" s="58">
        <v>428.4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O47" s="1"/>
      <c r="AP47" s="1"/>
      <c r="AQ47" s="1"/>
    </row>
    <row r="48" spans="1:43">
      <c r="A48" s="24">
        <v>1992</v>
      </c>
      <c r="B48" s="22">
        <v>117171</v>
      </c>
      <c r="C48" s="22">
        <v>66152</v>
      </c>
      <c r="D48" s="42">
        <v>38698.92</v>
      </c>
      <c r="E48" s="42">
        <v>14354.983999999999</v>
      </c>
      <c r="F48" s="42">
        <v>13098.096000000001</v>
      </c>
      <c r="G48" s="36">
        <v>26923.476451121402</v>
      </c>
      <c r="H48" s="5">
        <v>5866.6</v>
      </c>
      <c r="I48" s="5">
        <v>11699.5</v>
      </c>
      <c r="J48" s="5">
        <v>9357.3764511214031</v>
      </c>
      <c r="K48" s="36">
        <v>1656.2776534971601</v>
      </c>
      <c r="L48" s="5">
        <v>347.80189737225209</v>
      </c>
      <c r="M48" s="5">
        <v>6398.0279475029256</v>
      </c>
      <c r="N48" s="5">
        <v>1740.7589480800523</v>
      </c>
      <c r="O48" s="22">
        <v>17203.3</v>
      </c>
      <c r="P48" s="4">
        <v>13000.1</v>
      </c>
      <c r="Q48" s="4">
        <v>4203.2</v>
      </c>
      <c r="R48" s="4">
        <v>10086.299999999999</v>
      </c>
      <c r="S48" s="4">
        <v>8513.7000000000007</v>
      </c>
      <c r="T48" s="4">
        <v>1572.6</v>
      </c>
      <c r="U48" s="4">
        <v>275.60000000000002</v>
      </c>
      <c r="V48" s="36">
        <v>4676.3</v>
      </c>
      <c r="W48" s="5">
        <v>4443.3</v>
      </c>
      <c r="X48" s="58">
        <v>233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O48" s="1"/>
      <c r="AP48" s="1"/>
      <c r="AQ48" s="1"/>
    </row>
    <row r="49" spans="1:43">
      <c r="A49" s="24">
        <v>1993</v>
      </c>
      <c r="B49" s="22">
        <v>118517</v>
      </c>
      <c r="C49" s="22">
        <v>66808</v>
      </c>
      <c r="D49" s="42">
        <v>37679.712</v>
      </c>
      <c r="E49" s="42">
        <v>14964.992</v>
      </c>
      <c r="F49" s="42">
        <v>14163.295999999998</v>
      </c>
      <c r="G49" s="36">
        <v>35333.924714546243</v>
      </c>
      <c r="H49" s="5">
        <v>6963.7628949561667</v>
      </c>
      <c r="I49" s="5">
        <v>16454.431309439089</v>
      </c>
      <c r="J49" s="5">
        <v>11915.730510150988</v>
      </c>
      <c r="K49" s="36">
        <v>1887.5654766803709</v>
      </c>
      <c r="L49" s="5">
        <v>364.15451590865223</v>
      </c>
      <c r="M49" s="5">
        <v>7669.0630055453667</v>
      </c>
      <c r="N49" s="5">
        <v>1952.8924579188511</v>
      </c>
      <c r="O49" s="22">
        <v>21899.9</v>
      </c>
      <c r="P49" s="4">
        <v>16412.099999999999</v>
      </c>
      <c r="Q49" s="4">
        <v>5487.8</v>
      </c>
      <c r="R49" s="4">
        <v>15717.7</v>
      </c>
      <c r="S49" s="4">
        <v>13309.2</v>
      </c>
      <c r="T49" s="4">
        <v>2408.5</v>
      </c>
      <c r="U49" s="4">
        <v>-679.5</v>
      </c>
      <c r="V49" s="36">
        <v>5284.8</v>
      </c>
      <c r="W49" s="5">
        <v>5986.2</v>
      </c>
      <c r="X49" s="58">
        <v>-701.4</v>
      </c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O49" s="1"/>
      <c r="AP49" s="1"/>
      <c r="AQ49" s="1"/>
    </row>
    <row r="50" spans="1:43">
      <c r="A50" s="24">
        <v>1994</v>
      </c>
      <c r="B50" s="22">
        <v>119850</v>
      </c>
      <c r="C50" s="22">
        <v>67455</v>
      </c>
      <c r="D50" s="42">
        <v>36628.065000000002</v>
      </c>
      <c r="E50" s="42">
        <v>15312.285</v>
      </c>
      <c r="F50" s="42">
        <v>15514.65</v>
      </c>
      <c r="G50" s="36">
        <v>48197.856444709192</v>
      </c>
      <c r="H50" s="5">
        <v>9572.6947500939077</v>
      </c>
      <c r="I50" s="5">
        <v>22445.399060048316</v>
      </c>
      <c r="J50" s="5">
        <v>16179.762634566971</v>
      </c>
      <c r="K50" s="36">
        <v>2134.4719110932001</v>
      </c>
      <c r="L50" s="5">
        <v>378.72250703657215</v>
      </c>
      <c r="M50" s="5">
        <v>9077.0703019686807</v>
      </c>
      <c r="N50" s="5">
        <v>2169.4881672446809</v>
      </c>
      <c r="O50" s="22">
        <v>29242.2</v>
      </c>
      <c r="P50" s="4">
        <v>21844.2</v>
      </c>
      <c r="Q50" s="4">
        <v>7398</v>
      </c>
      <c r="R50" s="4">
        <v>20341.099999999999</v>
      </c>
      <c r="S50" s="4">
        <v>17312.7</v>
      </c>
      <c r="T50" s="4">
        <v>3028.4</v>
      </c>
      <c r="U50" s="4">
        <v>634.1</v>
      </c>
      <c r="V50" s="36">
        <v>10421.799999999999</v>
      </c>
      <c r="W50" s="5">
        <v>9960.1</v>
      </c>
      <c r="X50" s="58">
        <v>461.69999999999891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O50" s="1"/>
      <c r="AP50" s="1"/>
      <c r="AQ50" s="1"/>
    </row>
    <row r="51" spans="1:43">
      <c r="A51" s="24">
        <v>1995</v>
      </c>
      <c r="B51" s="22">
        <v>121121</v>
      </c>
      <c r="C51" s="22">
        <v>68065</v>
      </c>
      <c r="D51" s="42">
        <v>35529.93</v>
      </c>
      <c r="E51" s="42">
        <v>15654.95</v>
      </c>
      <c r="F51" s="42">
        <v>16880.12</v>
      </c>
      <c r="G51" s="36">
        <v>60793.729211331403</v>
      </c>
      <c r="H51" s="5">
        <v>12135.81140421533</v>
      </c>
      <c r="I51" s="5">
        <v>28679.45750448529</v>
      </c>
      <c r="J51" s="5">
        <v>19978.460302630781</v>
      </c>
      <c r="K51" s="36">
        <v>2367.6625474466659</v>
      </c>
      <c r="L51" s="5">
        <v>397.66154210700154</v>
      </c>
      <c r="M51" s="5">
        <v>10336.565794513479</v>
      </c>
      <c r="N51" s="5">
        <v>2382.9574703809121</v>
      </c>
      <c r="O51" s="22">
        <v>36748.199999999997</v>
      </c>
      <c r="P51" s="4">
        <v>28369.7</v>
      </c>
      <c r="Q51" s="4">
        <v>8378.5</v>
      </c>
      <c r="R51" s="4">
        <v>25470.1</v>
      </c>
      <c r="S51" s="4">
        <v>20885</v>
      </c>
      <c r="T51" s="4">
        <v>4585.1000000000004</v>
      </c>
      <c r="U51" s="4">
        <v>998.6</v>
      </c>
      <c r="V51" s="36">
        <v>12451.8</v>
      </c>
      <c r="W51" s="5">
        <v>11048.1</v>
      </c>
      <c r="X51" s="58">
        <v>1403.7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O51" s="1"/>
      <c r="AP51" s="1"/>
      <c r="AQ51" s="1"/>
    </row>
    <row r="52" spans="1:43">
      <c r="A52" s="24">
        <v>1996</v>
      </c>
      <c r="B52" s="22">
        <v>122389</v>
      </c>
      <c r="C52" s="22">
        <v>68950</v>
      </c>
      <c r="D52" s="42">
        <v>34819.75</v>
      </c>
      <c r="E52" s="42">
        <v>16203.25</v>
      </c>
      <c r="F52" s="42">
        <v>17927</v>
      </c>
      <c r="G52" s="36">
        <v>71176.591653987125</v>
      </c>
      <c r="H52" s="5">
        <v>14015.389992483675</v>
      </c>
      <c r="I52" s="5">
        <v>33834.959013514926</v>
      </c>
      <c r="J52" s="5">
        <v>23326.242647988525</v>
      </c>
      <c r="K52" s="36">
        <v>2604.6306087084581</v>
      </c>
      <c r="L52" s="5">
        <v>417.94551377512607</v>
      </c>
      <c r="M52" s="5">
        <v>11587.947530067748</v>
      </c>
      <c r="N52" s="5">
        <v>2607.5872809716052</v>
      </c>
      <c r="O52" s="22">
        <v>43919.5</v>
      </c>
      <c r="P52" s="4">
        <v>33955.9</v>
      </c>
      <c r="Q52" s="4">
        <v>9963.6</v>
      </c>
      <c r="R52" s="4">
        <v>28784.9</v>
      </c>
      <c r="S52" s="4">
        <v>24048.1</v>
      </c>
      <c r="T52" s="4">
        <v>4736.8</v>
      </c>
      <c r="U52" s="4">
        <v>1459.2</v>
      </c>
      <c r="V52" s="36">
        <v>12576.4</v>
      </c>
      <c r="W52" s="5">
        <v>11557.4</v>
      </c>
      <c r="X52" s="58">
        <v>1019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O52" s="1"/>
      <c r="AP52" s="1"/>
      <c r="AQ52" s="1"/>
    </row>
    <row r="53" spans="1:43">
      <c r="A53" s="24">
        <v>1997</v>
      </c>
      <c r="B53" s="22">
        <v>123626</v>
      </c>
      <c r="C53" s="22">
        <v>69820</v>
      </c>
      <c r="D53" s="42">
        <v>34840.18</v>
      </c>
      <c r="E53" s="42">
        <v>16547.34</v>
      </c>
      <c r="F53" s="42">
        <v>18432.48</v>
      </c>
      <c r="G53" s="36">
        <v>78973.034996491449</v>
      </c>
      <c r="H53" s="5">
        <v>14441.88566713665</v>
      </c>
      <c r="I53" s="5">
        <v>37543.002190786159</v>
      </c>
      <c r="J53" s="5">
        <v>26988.147138568638</v>
      </c>
      <c r="K53" s="36">
        <v>2846.7839956183843</v>
      </c>
      <c r="L53" s="5">
        <v>432.57169927506169</v>
      </c>
      <c r="M53" s="5">
        <v>12802.246391080111</v>
      </c>
      <c r="N53" s="5">
        <v>2887.0426327134674</v>
      </c>
      <c r="O53" s="22">
        <v>48140.6</v>
      </c>
      <c r="P53" s="4">
        <v>36921.5</v>
      </c>
      <c r="Q53" s="4">
        <v>11219.1</v>
      </c>
      <c r="R53" s="4">
        <v>29968</v>
      </c>
      <c r="S53" s="4">
        <v>25965</v>
      </c>
      <c r="T53" s="4">
        <v>4003</v>
      </c>
      <c r="U53" s="4">
        <v>3549.9</v>
      </c>
      <c r="V53" s="36">
        <v>15160.7</v>
      </c>
      <c r="W53" s="5">
        <v>11806.5</v>
      </c>
      <c r="X53" s="58">
        <v>3354.2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O53" s="1"/>
      <c r="AP53" s="1"/>
      <c r="AQ53" s="1"/>
    </row>
    <row r="54" spans="1:43">
      <c r="A54" s="24">
        <v>1998</v>
      </c>
      <c r="B54" s="22">
        <v>124761</v>
      </c>
      <c r="C54" s="22">
        <v>70637</v>
      </c>
      <c r="D54" s="42">
        <v>35177.225999999995</v>
      </c>
      <c r="E54" s="42">
        <v>16599.695</v>
      </c>
      <c r="F54" s="42">
        <v>18860.078999999998</v>
      </c>
      <c r="G54" s="36">
        <v>84402.279768922002</v>
      </c>
      <c r="H54" s="5">
        <v>14817.625518145247</v>
      </c>
      <c r="I54" s="5">
        <v>39004.188543792865</v>
      </c>
      <c r="J54" s="5">
        <v>30580.465706983894</v>
      </c>
      <c r="K54" s="36">
        <v>3069.7824604024627</v>
      </c>
      <c r="L54" s="5">
        <v>447.70870204046804</v>
      </c>
      <c r="M54" s="5">
        <v>13942.980522045002</v>
      </c>
      <c r="N54" s="5">
        <v>3128.7533882011376</v>
      </c>
      <c r="O54" s="22">
        <v>51588.2</v>
      </c>
      <c r="P54" s="4">
        <v>39229.300000000003</v>
      </c>
      <c r="Q54" s="4">
        <v>12358.9</v>
      </c>
      <c r="R54" s="4">
        <v>31314.2</v>
      </c>
      <c r="S54" s="4">
        <v>28569</v>
      </c>
      <c r="T54" s="4">
        <v>2745.2</v>
      </c>
      <c r="U54" s="4">
        <v>3629.2</v>
      </c>
      <c r="V54" s="36">
        <v>15223.6</v>
      </c>
      <c r="W54" s="5">
        <v>11626.1</v>
      </c>
      <c r="X54" s="58">
        <v>3597.5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O54" s="1"/>
      <c r="AP54" s="1"/>
      <c r="AQ54" s="1"/>
    </row>
    <row r="55" spans="1:43">
      <c r="A55" s="24">
        <v>1999</v>
      </c>
      <c r="B55" s="22">
        <v>125786</v>
      </c>
      <c r="C55" s="22">
        <v>71394</v>
      </c>
      <c r="D55" s="42">
        <v>35768.394</v>
      </c>
      <c r="E55" s="42">
        <v>16420.62</v>
      </c>
      <c r="F55" s="42">
        <v>19204.985999999997</v>
      </c>
      <c r="G55" s="36">
        <v>89677.054750904499</v>
      </c>
      <c r="H55" s="5">
        <v>14770.028471086789</v>
      </c>
      <c r="I55" s="5">
        <v>41033.581585429209</v>
      </c>
      <c r="J55" s="5">
        <v>33873.444694388505</v>
      </c>
      <c r="K55" s="36">
        <v>3303.6948408978997</v>
      </c>
      <c r="L55" s="5">
        <v>460.24454569760115</v>
      </c>
      <c r="M55" s="5">
        <v>15077.343851224736</v>
      </c>
      <c r="N55" s="5">
        <v>3420.6599640188451</v>
      </c>
      <c r="O55" s="22">
        <v>55636.9</v>
      </c>
      <c r="P55" s="4">
        <v>41920.400000000001</v>
      </c>
      <c r="Q55" s="4">
        <v>13716.5</v>
      </c>
      <c r="R55" s="4">
        <v>32951.5</v>
      </c>
      <c r="S55" s="4">
        <v>30527.3</v>
      </c>
      <c r="T55" s="4">
        <v>2424.1999999999998</v>
      </c>
      <c r="U55" s="4">
        <v>2536.6</v>
      </c>
      <c r="V55" s="36">
        <v>16159.8</v>
      </c>
      <c r="W55" s="5">
        <v>13736.5</v>
      </c>
      <c r="X55" s="58">
        <v>2423.3000000000002</v>
      </c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O55" s="1"/>
      <c r="AP55" s="1"/>
      <c r="AQ55" s="1"/>
    </row>
    <row r="56" spans="1:43">
      <c r="A56" s="24">
        <v>2000</v>
      </c>
      <c r="B56" s="22">
        <v>126743</v>
      </c>
      <c r="C56" s="22">
        <v>72085</v>
      </c>
      <c r="D56" s="42">
        <v>36042.5</v>
      </c>
      <c r="E56" s="42">
        <v>16219.125</v>
      </c>
      <c r="F56" s="42">
        <v>19823.375</v>
      </c>
      <c r="G56" s="36">
        <v>99214.554308477207</v>
      </c>
      <c r="H56" s="5">
        <v>14944.722503171741</v>
      </c>
      <c r="I56" s="5">
        <v>45555.877958968071</v>
      </c>
      <c r="J56" s="5">
        <v>38713.953846337397</v>
      </c>
      <c r="K56" s="36">
        <v>3582.2385851191216</v>
      </c>
      <c r="L56" s="5">
        <v>471.29035478948003</v>
      </c>
      <c r="M56" s="5">
        <v>16498.994279772869</v>
      </c>
      <c r="N56" s="5">
        <v>3754.1379354287947</v>
      </c>
      <c r="O56" s="22">
        <v>61516</v>
      </c>
      <c r="P56" s="4">
        <v>45854.6</v>
      </c>
      <c r="Q56" s="4">
        <v>15661.4</v>
      </c>
      <c r="R56" s="4">
        <v>34842.800000000003</v>
      </c>
      <c r="S56" s="4">
        <v>33844.400000000001</v>
      </c>
      <c r="T56" s="4">
        <v>998.4</v>
      </c>
      <c r="U56" s="4">
        <v>2390.1999999999998</v>
      </c>
      <c r="V56" s="36">
        <v>20634.400000000001</v>
      </c>
      <c r="W56" s="5">
        <v>18638.8</v>
      </c>
      <c r="X56" s="58">
        <v>1995.6</v>
      </c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O56" s="1"/>
      <c r="AP56" s="1"/>
      <c r="AQ56" s="1"/>
    </row>
    <row r="57" spans="1:43">
      <c r="A57" s="24">
        <v>2001</v>
      </c>
      <c r="B57" s="22">
        <v>127627</v>
      </c>
      <c r="C57" s="22">
        <v>73025</v>
      </c>
      <c r="D57" s="42">
        <v>36513</v>
      </c>
      <c r="E57" s="42">
        <v>16284</v>
      </c>
      <c r="F57" s="42">
        <v>20228</v>
      </c>
      <c r="G57" s="36">
        <v>109655.17055815921</v>
      </c>
      <c r="H57" s="5">
        <v>15781.269049012264</v>
      </c>
      <c r="I57" s="5">
        <v>49512.290969951253</v>
      </c>
      <c r="J57" s="5">
        <v>44361.610539195695</v>
      </c>
      <c r="K57" s="36">
        <v>3879.5757645654462</v>
      </c>
      <c r="L57" s="5">
        <v>484.48681979007955</v>
      </c>
      <c r="M57" s="5">
        <v>17891.759475427993</v>
      </c>
      <c r="N57" s="5">
        <v>4139.215708981119</v>
      </c>
      <c r="O57" s="22">
        <v>66878.3</v>
      </c>
      <c r="P57" s="4">
        <v>49213.2</v>
      </c>
      <c r="Q57" s="4">
        <v>17665.099999999999</v>
      </c>
      <c r="R57" s="4">
        <v>39769.4</v>
      </c>
      <c r="S57" s="4">
        <v>37754.5</v>
      </c>
      <c r="T57" s="4">
        <v>2014.9</v>
      </c>
      <c r="U57" s="4">
        <v>2324.6999999999998</v>
      </c>
      <c r="V57" s="36">
        <v>22024.400000000001</v>
      </c>
      <c r="W57" s="5">
        <v>20159.2</v>
      </c>
      <c r="X57" s="58">
        <v>1865.2</v>
      </c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O57" s="1"/>
      <c r="AP57" s="1"/>
      <c r="AQ57" s="1"/>
    </row>
    <row r="58" spans="1:43">
      <c r="A58" s="24">
        <v>2002</v>
      </c>
      <c r="B58" s="22">
        <v>128453</v>
      </c>
      <c r="C58" s="22">
        <v>73740</v>
      </c>
      <c r="D58" s="42">
        <v>36870</v>
      </c>
      <c r="E58" s="42">
        <v>15780</v>
      </c>
      <c r="F58" s="42">
        <v>21090</v>
      </c>
      <c r="G58" s="36">
        <v>120332.68927425226</v>
      </c>
      <c r="H58" s="5">
        <v>16537.019657742621</v>
      </c>
      <c r="I58" s="5">
        <v>53896.767792499406</v>
      </c>
      <c r="J58" s="5">
        <v>49898.90182401023</v>
      </c>
      <c r="K58" s="36">
        <v>4231.9214724354379</v>
      </c>
      <c r="L58" s="5">
        <v>498.53705999213395</v>
      </c>
      <c r="M58" s="5">
        <v>19650.39274427931</v>
      </c>
      <c r="N58" s="5">
        <v>4571.4454003459796</v>
      </c>
      <c r="O58" s="22">
        <v>71691.199999999997</v>
      </c>
      <c r="P58" s="4">
        <v>52571.3</v>
      </c>
      <c r="Q58" s="4">
        <v>19119.900000000001</v>
      </c>
      <c r="R58" s="4">
        <v>45565</v>
      </c>
      <c r="S58" s="4">
        <v>43632.1</v>
      </c>
      <c r="T58" s="4">
        <v>1932.9</v>
      </c>
      <c r="U58" s="4">
        <v>3094.1</v>
      </c>
      <c r="V58" s="36">
        <v>26947.9</v>
      </c>
      <c r="W58" s="5">
        <v>24430.3</v>
      </c>
      <c r="X58" s="58">
        <v>2517.6</v>
      </c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O58" s="1"/>
      <c r="AP58" s="1"/>
      <c r="AQ58" s="1"/>
    </row>
    <row r="59" spans="1:43">
      <c r="A59" s="24">
        <v>2003</v>
      </c>
      <c r="B59" s="22">
        <v>129227</v>
      </c>
      <c r="C59" s="22">
        <v>74432</v>
      </c>
      <c r="D59" s="42">
        <v>36546.112000000001</v>
      </c>
      <c r="E59" s="42">
        <v>16077.312000000002</v>
      </c>
      <c r="F59" s="42">
        <v>21808.576000000001</v>
      </c>
      <c r="G59" s="36">
        <v>135822.75614955736</v>
      </c>
      <c r="H59" s="5">
        <v>17381.717701090576</v>
      </c>
      <c r="I59" s="5">
        <v>62436.312136031615</v>
      </c>
      <c r="J59" s="5">
        <v>56004.726312435174</v>
      </c>
      <c r="K59" s="36">
        <v>4656.18762893445</v>
      </c>
      <c r="L59" s="5">
        <v>511.00024485744638</v>
      </c>
      <c r="M59" s="5">
        <v>22140.472212755725</v>
      </c>
      <c r="N59" s="5">
        <v>5005.8699081812692</v>
      </c>
      <c r="O59" s="22">
        <v>77449.5</v>
      </c>
      <c r="P59" s="4">
        <v>56834.400000000001</v>
      </c>
      <c r="Q59" s="4">
        <v>20615.099999999999</v>
      </c>
      <c r="R59" s="4">
        <v>55963</v>
      </c>
      <c r="S59" s="4">
        <v>53490.7</v>
      </c>
      <c r="T59" s="4">
        <v>2472.3000000000002</v>
      </c>
      <c r="U59" s="4">
        <v>2986.3</v>
      </c>
      <c r="V59" s="36">
        <v>36287.9</v>
      </c>
      <c r="W59" s="5">
        <v>34195.599999999999</v>
      </c>
      <c r="X59" s="58">
        <v>2092.3000000000002</v>
      </c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O59" s="1"/>
      <c r="AP59" s="1"/>
      <c r="AQ59" s="1"/>
    </row>
    <row r="60" spans="1:43">
      <c r="A60" s="24">
        <v>2004</v>
      </c>
      <c r="B60" s="22">
        <v>129988</v>
      </c>
      <c r="C60" s="22">
        <v>75200</v>
      </c>
      <c r="D60" s="42">
        <v>35268.800000000003</v>
      </c>
      <c r="E60" s="42">
        <v>16920</v>
      </c>
      <c r="F60" s="42">
        <v>23011.200000000001</v>
      </c>
      <c r="G60" s="36">
        <v>159878.33791738964</v>
      </c>
      <c r="H60" s="5">
        <v>21412.734041131451</v>
      </c>
      <c r="I60" s="5">
        <v>73904.311870643694</v>
      </c>
      <c r="J60" s="5">
        <v>64561.292005614494</v>
      </c>
      <c r="K60" s="36">
        <v>5125.7660079418674</v>
      </c>
      <c r="L60" s="5">
        <v>543.19339727411284</v>
      </c>
      <c r="M60" s="5">
        <v>24600.822182355416</v>
      </c>
      <c r="N60" s="5">
        <v>5509.2820166659694</v>
      </c>
      <c r="O60" s="22">
        <v>87032.9</v>
      </c>
      <c r="P60" s="4">
        <v>63833.5</v>
      </c>
      <c r="Q60" s="4">
        <v>23199.4</v>
      </c>
      <c r="R60" s="4">
        <v>69168.399999999994</v>
      </c>
      <c r="S60" s="4">
        <v>65117.7</v>
      </c>
      <c r="T60" s="4">
        <v>4050.7</v>
      </c>
      <c r="U60" s="4">
        <v>4079.1</v>
      </c>
      <c r="V60" s="36">
        <v>49103.3</v>
      </c>
      <c r="W60" s="5">
        <v>46435.8</v>
      </c>
      <c r="X60" s="58">
        <v>2667.5</v>
      </c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O60" s="1"/>
      <c r="AP60" s="1"/>
      <c r="AQ60" s="1"/>
    </row>
    <row r="61" spans="1:43">
      <c r="A61" s="24">
        <v>2005</v>
      </c>
      <c r="B61" s="22">
        <v>130756</v>
      </c>
      <c r="C61" s="22">
        <v>75825</v>
      </c>
      <c r="D61" s="42">
        <v>33970</v>
      </c>
      <c r="E61" s="42">
        <v>18084</v>
      </c>
      <c r="F61" s="42">
        <v>23771</v>
      </c>
      <c r="G61" s="36">
        <v>183217.44515936554</v>
      </c>
      <c r="H61" s="5">
        <v>22420</v>
      </c>
      <c r="I61" s="5">
        <v>87364.579110053179</v>
      </c>
      <c r="J61" s="5">
        <v>73432.866049312361</v>
      </c>
      <c r="K61" s="36">
        <v>5660.5246997141885</v>
      </c>
      <c r="L61" s="5">
        <v>571.60632584878647</v>
      </c>
      <c r="M61" s="5">
        <v>27478.01252093392</v>
      </c>
      <c r="N61" s="5">
        <v>6087.7663936960753</v>
      </c>
      <c r="O61" s="22">
        <v>97822.7</v>
      </c>
      <c r="P61" s="4">
        <v>71217.5</v>
      </c>
      <c r="Q61" s="4">
        <v>26605.200000000001</v>
      </c>
      <c r="R61" s="4">
        <v>80646.3</v>
      </c>
      <c r="S61" s="4">
        <v>77304.800000000003</v>
      </c>
      <c r="T61" s="4">
        <v>3341.5</v>
      </c>
      <c r="U61" s="4">
        <v>10223.1</v>
      </c>
      <c r="V61" s="36">
        <v>62648.1</v>
      </c>
      <c r="W61" s="5">
        <v>54273.7</v>
      </c>
      <c r="X61" s="58">
        <f>V61-W61</f>
        <v>8374.4000000000015</v>
      </c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O61" s="1"/>
      <c r="AP61" s="1"/>
      <c r="AQ61" s="1"/>
    </row>
    <row r="62" spans="1:43">
      <c r="A62" s="24">
        <v>2006</v>
      </c>
      <c r="B62" s="22">
        <v>131448</v>
      </c>
      <c r="C62" s="22">
        <v>76400</v>
      </c>
      <c r="D62" s="42">
        <v>32561</v>
      </c>
      <c r="E62" s="42">
        <v>19225</v>
      </c>
      <c r="F62" s="42">
        <v>24614</v>
      </c>
      <c r="G62" s="36">
        <v>211923.45987781469</v>
      </c>
      <c r="H62" s="5">
        <v>24040</v>
      </c>
      <c r="I62" s="5">
        <v>103162.02629052651</v>
      </c>
      <c r="J62" s="5">
        <v>84721.433587288164</v>
      </c>
      <c r="K62" s="36">
        <v>6319.7853743861042</v>
      </c>
      <c r="L62" s="5">
        <v>600.18664214122578</v>
      </c>
      <c r="M62" s="5">
        <v>31040.781317552905</v>
      </c>
      <c r="N62" s="5">
        <v>6824.7754459850257</v>
      </c>
      <c r="O62" s="22">
        <v>110595.3</v>
      </c>
      <c r="P62" s="4">
        <v>80476.899999999994</v>
      </c>
      <c r="Q62" s="4">
        <v>30118.400000000001</v>
      </c>
      <c r="R62" s="4">
        <v>94402</v>
      </c>
      <c r="S62" s="4">
        <v>90150.9</v>
      </c>
      <c r="T62" s="4">
        <v>4251.1000000000004</v>
      </c>
      <c r="U62" s="4">
        <v>16654</v>
      </c>
      <c r="V62" s="36">
        <v>77594.59</v>
      </c>
      <c r="W62" s="5">
        <v>63376.86</v>
      </c>
      <c r="X62" s="58">
        <f>V62-W62</f>
        <v>14217.729999999996</v>
      </c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O62" s="1"/>
      <c r="AP62" s="1"/>
      <c r="AQ62" s="1"/>
    </row>
    <row r="63" spans="1:43">
      <c r="A63" s="24">
        <v>2007</v>
      </c>
      <c r="B63" s="22">
        <v>132129</v>
      </c>
      <c r="C63" s="22">
        <v>76990</v>
      </c>
      <c r="D63" s="42">
        <v>31444</v>
      </c>
      <c r="E63" s="42">
        <v>20629</v>
      </c>
      <c r="F63" s="42">
        <v>24917</v>
      </c>
      <c r="G63" s="36">
        <v>257305.55662567701</v>
      </c>
      <c r="H63" s="5">
        <v>28627</v>
      </c>
      <c r="I63" s="5">
        <v>124798.97049905131</v>
      </c>
      <c r="J63" s="5">
        <v>103879.58612662568</v>
      </c>
      <c r="K63" s="36">
        <v>7143.8298183574962</v>
      </c>
      <c r="L63" s="5">
        <v>622.65763002299332</v>
      </c>
      <c r="M63" s="5">
        <v>35591.778983329074</v>
      </c>
      <c r="N63" s="5">
        <v>7763.3424085676461</v>
      </c>
      <c r="O63" s="22">
        <v>128793.8</v>
      </c>
      <c r="P63" s="4">
        <v>93602.9</v>
      </c>
      <c r="Q63" s="4">
        <v>35190.9</v>
      </c>
      <c r="R63" s="4">
        <v>110919.4</v>
      </c>
      <c r="S63" s="4">
        <v>105435.9</v>
      </c>
      <c r="T63" s="4">
        <v>5483.6</v>
      </c>
      <c r="U63" s="4">
        <v>23380.6</v>
      </c>
      <c r="V63" s="36">
        <v>93455.627187229999</v>
      </c>
      <c r="W63" s="5">
        <v>73284.561183540005</v>
      </c>
      <c r="X63" s="58">
        <f>V63-W63</f>
        <v>20171.066003689994</v>
      </c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O63" s="1"/>
      <c r="AP63" s="1"/>
      <c r="AQ63" s="1"/>
    </row>
    <row r="64" spans="1:43">
      <c r="A64" s="25">
        <v>2008</v>
      </c>
      <c r="B64" s="23">
        <v>132802</v>
      </c>
      <c r="C64" s="23">
        <v>77480</v>
      </c>
      <c r="D64" s="44">
        <v>30654</v>
      </c>
      <c r="E64" s="44">
        <v>21109</v>
      </c>
      <c r="F64" s="44">
        <v>25717</v>
      </c>
      <c r="G64" s="37">
        <v>300669.96553021768</v>
      </c>
      <c r="H64" s="38">
        <v>34000</v>
      </c>
      <c r="I64" s="38">
        <v>146183.35845112923</v>
      </c>
      <c r="J64" s="38">
        <v>120486.60707908847</v>
      </c>
      <c r="K64" s="37">
        <v>7783.2241205175242</v>
      </c>
      <c r="L64" s="38">
        <v>656.90379967425793</v>
      </c>
      <c r="M64" s="38">
        <v>38884.089780765396</v>
      </c>
      <c r="N64" s="38">
        <v>8499.9076825164721</v>
      </c>
      <c r="O64" s="23">
        <v>149112.6</v>
      </c>
      <c r="P64" s="20">
        <v>108392.2</v>
      </c>
      <c r="Q64" s="20">
        <v>40720.400000000001</v>
      </c>
      <c r="R64" s="20">
        <v>133612.29999999999</v>
      </c>
      <c r="S64" s="20">
        <v>126209.5</v>
      </c>
      <c r="T64" s="20">
        <v>7402.9</v>
      </c>
      <c r="U64" s="20">
        <v>24134.9</v>
      </c>
      <c r="V64" s="37">
        <v>100394.94142387</v>
      </c>
      <c r="W64" s="38">
        <v>79526.528770260004</v>
      </c>
      <c r="X64" s="59">
        <v>20868.412653609994</v>
      </c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O64" s="1"/>
      <c r="AP64" s="1"/>
      <c r="AQ64" s="1"/>
    </row>
    <row r="65" spans="1:43">
      <c r="AO65" s="1"/>
      <c r="AP65" s="1"/>
      <c r="AQ65" s="1"/>
    </row>
    <row r="66" spans="1:43">
      <c r="A66" t="s">
        <v>115</v>
      </c>
      <c r="B66" s="9" t="s">
        <v>125</v>
      </c>
    </row>
  </sheetData>
  <mergeCells count="15">
    <mergeCell ref="B2:F2"/>
    <mergeCell ref="C1:F1"/>
    <mergeCell ref="C3:F3"/>
    <mergeCell ref="G3:J3"/>
    <mergeCell ref="G2:J2"/>
    <mergeCell ref="G1:J1"/>
    <mergeCell ref="V3:X3"/>
    <mergeCell ref="V2:X2"/>
    <mergeCell ref="V1:X1"/>
    <mergeCell ref="K1:N1"/>
    <mergeCell ref="K2:N2"/>
    <mergeCell ref="K3:N3"/>
    <mergeCell ref="O3:U3"/>
    <mergeCell ref="O2:U2"/>
    <mergeCell ref="O1:U1"/>
  </mergeCells>
  <pageMargins left="0.7" right="0.7" top="0.75" bottom="0.75" header="0.3" footer="0.3"/>
  <pageSetup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41"/>
  <sheetViews>
    <sheetView view="pageBreakPreview" zoomScale="60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R27" sqref="R27"/>
    </sheetView>
  </sheetViews>
  <sheetFormatPr defaultRowHeight="15"/>
  <cols>
    <col min="2" max="2" width="10.7109375" customWidth="1"/>
    <col min="7" max="7" width="10.5703125" customWidth="1"/>
    <col min="9" max="9" width="9.7109375" customWidth="1"/>
    <col min="10" max="10" width="10.28515625" customWidth="1"/>
    <col min="13" max="13" width="10.28515625" customWidth="1"/>
    <col min="15" max="15" width="11.7109375" customWidth="1"/>
    <col min="16" max="16" width="11.28515625" customWidth="1"/>
    <col min="17" max="17" width="11.5703125" customWidth="1"/>
    <col min="18" max="21" width="11.28515625" customWidth="1"/>
    <col min="22" max="24" width="10.28515625" customWidth="1"/>
  </cols>
  <sheetData>
    <row r="1" spans="1:24">
      <c r="A1" s="10" t="s">
        <v>115</v>
      </c>
      <c r="B1" s="10" t="s">
        <v>131</v>
      </c>
      <c r="C1" s="125" t="s">
        <v>132</v>
      </c>
      <c r="D1" s="125"/>
      <c r="E1" s="125"/>
      <c r="F1" s="125"/>
      <c r="G1" s="125" t="s">
        <v>127</v>
      </c>
      <c r="H1" s="125"/>
      <c r="I1" s="125"/>
      <c r="J1" s="125"/>
      <c r="K1" s="125" t="s">
        <v>128</v>
      </c>
      <c r="L1" s="125"/>
      <c r="M1" s="125"/>
      <c r="N1" s="125"/>
      <c r="O1" s="125" t="s">
        <v>130</v>
      </c>
      <c r="P1" s="125"/>
      <c r="Q1" s="125"/>
      <c r="R1" s="125"/>
      <c r="S1" s="125"/>
      <c r="T1" s="125"/>
      <c r="U1" s="125"/>
      <c r="V1" s="125" t="s">
        <v>133</v>
      </c>
      <c r="W1" s="125"/>
      <c r="X1" s="125"/>
    </row>
    <row r="2" spans="1:24">
      <c r="A2" s="10" t="s">
        <v>116</v>
      </c>
      <c r="B2" s="125" t="s">
        <v>106</v>
      </c>
      <c r="C2" s="125"/>
      <c r="D2" s="125"/>
      <c r="E2" s="125"/>
      <c r="F2" s="125"/>
      <c r="G2" s="125" t="s">
        <v>110</v>
      </c>
      <c r="H2" s="125"/>
      <c r="I2" s="125"/>
      <c r="J2" s="125"/>
      <c r="K2" s="125" t="s">
        <v>129</v>
      </c>
      <c r="L2" s="125"/>
      <c r="M2" s="125"/>
      <c r="N2" s="125"/>
      <c r="O2" s="125" t="s">
        <v>110</v>
      </c>
      <c r="P2" s="125"/>
      <c r="Q2" s="125"/>
      <c r="R2" s="125"/>
      <c r="S2" s="125"/>
      <c r="T2" s="125"/>
      <c r="U2" s="125"/>
      <c r="V2" s="125" t="s">
        <v>110</v>
      </c>
      <c r="W2" s="125"/>
      <c r="X2" s="125"/>
    </row>
    <row r="3" spans="1:24">
      <c r="A3" s="10" t="s">
        <v>117</v>
      </c>
      <c r="B3" s="11" t="s">
        <v>1</v>
      </c>
      <c r="C3" s="125" t="s">
        <v>3</v>
      </c>
      <c r="D3" s="125"/>
      <c r="E3" s="125"/>
      <c r="F3" s="125"/>
      <c r="G3" s="125" t="s">
        <v>111</v>
      </c>
      <c r="H3" s="125"/>
      <c r="I3" s="125"/>
      <c r="J3" s="125"/>
      <c r="K3" s="125" t="s">
        <v>112</v>
      </c>
      <c r="L3" s="125"/>
      <c r="M3" s="125"/>
      <c r="N3" s="125"/>
      <c r="O3" s="125" t="s">
        <v>118</v>
      </c>
      <c r="P3" s="125"/>
      <c r="Q3" s="125"/>
      <c r="R3" s="125"/>
      <c r="S3" s="125"/>
      <c r="T3" s="125"/>
      <c r="U3" s="125"/>
      <c r="V3" s="125" t="s">
        <v>124</v>
      </c>
      <c r="W3" s="125"/>
      <c r="X3" s="125"/>
    </row>
    <row r="4" spans="1:24" ht="45">
      <c r="A4" s="10" t="s">
        <v>0</v>
      </c>
      <c r="B4" s="16" t="s">
        <v>2</v>
      </c>
      <c r="C4" s="16" t="s">
        <v>7</v>
      </c>
      <c r="D4" s="13" t="s">
        <v>4</v>
      </c>
      <c r="E4" s="13" t="s">
        <v>5</v>
      </c>
      <c r="F4" s="13" t="s">
        <v>6</v>
      </c>
      <c r="G4" s="16" t="s">
        <v>7</v>
      </c>
      <c r="H4" s="13" t="s">
        <v>4</v>
      </c>
      <c r="I4" s="13" t="s">
        <v>5</v>
      </c>
      <c r="J4" s="13" t="s">
        <v>6</v>
      </c>
      <c r="K4" s="16" t="s">
        <v>7</v>
      </c>
      <c r="L4" s="13" t="s">
        <v>4</v>
      </c>
      <c r="M4" s="13" t="s">
        <v>5</v>
      </c>
      <c r="N4" s="13" t="s">
        <v>6</v>
      </c>
      <c r="O4" s="16" t="s">
        <v>8</v>
      </c>
      <c r="P4" s="13" t="s">
        <v>9</v>
      </c>
      <c r="Q4" s="13" t="s">
        <v>10</v>
      </c>
      <c r="R4" s="14" t="s">
        <v>119</v>
      </c>
      <c r="S4" s="14" t="s">
        <v>120</v>
      </c>
      <c r="T4" s="14" t="s">
        <v>121</v>
      </c>
      <c r="U4" s="13" t="s">
        <v>11</v>
      </c>
      <c r="V4" s="16" t="s">
        <v>13</v>
      </c>
      <c r="W4" s="13" t="s">
        <v>14</v>
      </c>
      <c r="X4" s="15" t="s">
        <v>15</v>
      </c>
    </row>
    <row r="5" spans="1:24">
      <c r="A5" s="26">
        <v>1978</v>
      </c>
      <c r="B5" s="31">
        <v>96259</v>
      </c>
      <c r="C5" s="39">
        <v>40152</v>
      </c>
      <c r="D5" s="40">
        <v>28318</v>
      </c>
      <c r="E5" s="40">
        <v>6945</v>
      </c>
      <c r="F5" s="40">
        <v>4890</v>
      </c>
      <c r="G5" s="34">
        <v>3645.2174740458895</v>
      </c>
      <c r="H5" s="35">
        <v>1027.5345425553119</v>
      </c>
      <c r="I5" s="35">
        <v>1745.2</v>
      </c>
      <c r="J5" s="35">
        <v>872.48293149057758</v>
      </c>
      <c r="K5" s="34">
        <v>100</v>
      </c>
      <c r="L5" s="35">
        <v>100</v>
      </c>
      <c r="M5" s="35">
        <v>100</v>
      </c>
      <c r="N5" s="35">
        <v>100</v>
      </c>
      <c r="O5" s="34">
        <v>2239.1</v>
      </c>
      <c r="P5" s="35">
        <v>1759.1</v>
      </c>
      <c r="Q5" s="35">
        <v>480</v>
      </c>
      <c r="R5" s="35">
        <v>1377.9</v>
      </c>
      <c r="S5" s="35">
        <v>1073.9000000000001</v>
      </c>
      <c r="T5" s="35">
        <v>304</v>
      </c>
      <c r="U5" s="35">
        <v>-11.4</v>
      </c>
      <c r="V5" s="34">
        <v>167.6</v>
      </c>
      <c r="W5" s="35">
        <v>187.4</v>
      </c>
      <c r="X5" s="95">
        <v>-19.8</v>
      </c>
    </row>
    <row r="6" spans="1:24">
      <c r="A6" s="17">
        <v>1979</v>
      </c>
      <c r="B6" s="22">
        <v>97542</v>
      </c>
      <c r="C6" s="41">
        <v>41024</v>
      </c>
      <c r="D6" s="42">
        <v>28634</v>
      </c>
      <c r="E6" s="42">
        <v>7214</v>
      </c>
      <c r="F6" s="42">
        <v>5177</v>
      </c>
      <c r="G6" s="36">
        <v>4062.5791908646165</v>
      </c>
      <c r="H6" s="5">
        <v>1270.1917081921467</v>
      </c>
      <c r="I6" s="5">
        <v>1913.5</v>
      </c>
      <c r="J6" s="5">
        <v>878.88748267246956</v>
      </c>
      <c r="K6" s="36">
        <v>107.6</v>
      </c>
      <c r="L6" s="5">
        <v>106.1</v>
      </c>
      <c r="M6" s="5">
        <v>108.2</v>
      </c>
      <c r="N6" s="5">
        <v>107.85879337859647</v>
      </c>
      <c r="O6" s="36">
        <v>2633.7</v>
      </c>
      <c r="P6" s="5">
        <v>2011.5</v>
      </c>
      <c r="Q6" s="5">
        <v>622.20000000000005</v>
      </c>
      <c r="R6" s="5">
        <v>1478.9</v>
      </c>
      <c r="S6" s="5">
        <v>1153.0999999999999</v>
      </c>
      <c r="T6" s="5">
        <v>325.8</v>
      </c>
      <c r="U6" s="5">
        <v>-20</v>
      </c>
      <c r="V6" s="36"/>
      <c r="W6" s="5"/>
      <c r="X6" s="58"/>
    </row>
    <row r="7" spans="1:24">
      <c r="A7" s="17">
        <v>1980</v>
      </c>
      <c r="B7" s="22">
        <v>98705</v>
      </c>
      <c r="C7" s="41">
        <v>42361</v>
      </c>
      <c r="D7" s="42">
        <v>29122</v>
      </c>
      <c r="E7" s="42">
        <v>7707</v>
      </c>
      <c r="F7" s="42">
        <v>5532</v>
      </c>
      <c r="G7" s="36">
        <v>4545.6239733557295</v>
      </c>
      <c r="H7" s="5">
        <v>1371.5931433127369</v>
      </c>
      <c r="I7" s="5">
        <v>2192</v>
      </c>
      <c r="J7" s="5">
        <v>982.03083004299242</v>
      </c>
      <c r="K7" s="36">
        <v>116.00811679161265</v>
      </c>
      <c r="L7" s="5">
        <v>104.56015523932729</v>
      </c>
      <c r="M7" s="5">
        <v>122.87962858113464</v>
      </c>
      <c r="N7" s="5">
        <v>114.32868430453155</v>
      </c>
      <c r="O7" s="36">
        <v>3007.9</v>
      </c>
      <c r="P7" s="5">
        <v>2331.1999999999998</v>
      </c>
      <c r="Q7" s="5">
        <v>676.7</v>
      </c>
      <c r="R7" s="5">
        <v>1599.7</v>
      </c>
      <c r="S7" s="5">
        <v>1322.4</v>
      </c>
      <c r="T7" s="5">
        <v>277.3</v>
      </c>
      <c r="U7" s="5">
        <v>-14.7</v>
      </c>
      <c r="V7" s="36">
        <v>271.2</v>
      </c>
      <c r="W7" s="5">
        <v>298.8</v>
      </c>
      <c r="X7" s="58">
        <v>-27.6</v>
      </c>
    </row>
    <row r="8" spans="1:24">
      <c r="A8" s="17">
        <v>1981</v>
      </c>
      <c r="B8" s="22">
        <v>100072</v>
      </c>
      <c r="C8" s="41">
        <v>43725</v>
      </c>
      <c r="D8" s="42">
        <v>29777</v>
      </c>
      <c r="E8" s="42">
        <v>8003</v>
      </c>
      <c r="F8" s="42">
        <v>5945</v>
      </c>
      <c r="G8" s="36">
        <v>4891.5610619395911</v>
      </c>
      <c r="H8" s="5">
        <v>1559.4632648993422</v>
      </c>
      <c r="I8" s="5">
        <v>2255.5</v>
      </c>
      <c r="J8" s="5">
        <v>1076.5977970402491</v>
      </c>
      <c r="K8" s="36">
        <v>122.09054941307794</v>
      </c>
      <c r="L8" s="5">
        <v>111.8613973171659</v>
      </c>
      <c r="M8" s="5">
        <v>125.17244897527976</v>
      </c>
      <c r="N8" s="5">
        <v>126.24234915813297</v>
      </c>
      <c r="O8" s="36">
        <v>3361.5</v>
      </c>
      <c r="P8" s="5">
        <v>2627.9</v>
      </c>
      <c r="Q8" s="5">
        <v>733.6</v>
      </c>
      <c r="R8" s="5">
        <v>1630.2</v>
      </c>
      <c r="S8" s="5">
        <v>1339.3</v>
      </c>
      <c r="T8" s="5">
        <v>290.89999999999998</v>
      </c>
      <c r="U8" s="5">
        <v>17.100000000000001</v>
      </c>
      <c r="V8" s="36"/>
      <c r="W8" s="5"/>
      <c r="X8" s="58"/>
    </row>
    <row r="9" spans="1:24">
      <c r="A9" s="17">
        <v>1982</v>
      </c>
      <c r="B9" s="22">
        <v>101654</v>
      </c>
      <c r="C9" s="41">
        <v>45295</v>
      </c>
      <c r="D9" s="42">
        <v>30859</v>
      </c>
      <c r="E9" s="42">
        <v>8346</v>
      </c>
      <c r="F9" s="42">
        <v>6090</v>
      </c>
      <c r="G9" s="36">
        <v>5323.3509646743742</v>
      </c>
      <c r="H9" s="5">
        <v>1777.400677695834</v>
      </c>
      <c r="I9" s="5">
        <v>2383</v>
      </c>
      <c r="J9" s="5">
        <v>1162.9502869785401</v>
      </c>
      <c r="K9" s="36">
        <v>133.14813255873966</v>
      </c>
      <c r="L9" s="5">
        <v>124.75798379110509</v>
      </c>
      <c r="M9" s="5">
        <v>132.13418450617081</v>
      </c>
      <c r="N9" s="5">
        <v>142.62278275283532</v>
      </c>
      <c r="O9" s="36">
        <v>3714.8</v>
      </c>
      <c r="P9" s="5">
        <v>2902.9</v>
      </c>
      <c r="Q9" s="5">
        <v>811.9</v>
      </c>
      <c r="R9" s="5">
        <v>1784.2</v>
      </c>
      <c r="S9" s="5">
        <v>1503.2</v>
      </c>
      <c r="T9" s="5">
        <v>281</v>
      </c>
      <c r="U9" s="5">
        <v>91</v>
      </c>
      <c r="V9" s="36"/>
      <c r="W9" s="5"/>
      <c r="X9" s="58"/>
    </row>
    <row r="10" spans="1:24">
      <c r="A10" s="17">
        <v>1983</v>
      </c>
      <c r="B10" s="22">
        <v>103008</v>
      </c>
      <c r="C10" s="41">
        <v>46436</v>
      </c>
      <c r="D10" s="42">
        <v>31151</v>
      </c>
      <c r="E10" s="42">
        <v>8679</v>
      </c>
      <c r="F10" s="42">
        <v>6606</v>
      </c>
      <c r="G10" s="36">
        <v>5962.6515683940679</v>
      </c>
      <c r="H10" s="5">
        <v>1978.3874028303767</v>
      </c>
      <c r="I10" s="5">
        <v>2646.2</v>
      </c>
      <c r="J10" s="5">
        <v>1338.0641655636914</v>
      </c>
      <c r="K10" s="36">
        <v>147.59867185566551</v>
      </c>
      <c r="L10" s="5">
        <v>135.14500523102083</v>
      </c>
      <c r="M10" s="5">
        <v>145.83003901550757</v>
      </c>
      <c r="N10" s="5">
        <v>164.2630466756826</v>
      </c>
      <c r="O10" s="36">
        <v>4126.3999999999996</v>
      </c>
      <c r="P10" s="5">
        <v>3231.1</v>
      </c>
      <c r="Q10" s="5">
        <v>895.3</v>
      </c>
      <c r="R10" s="5">
        <v>2039</v>
      </c>
      <c r="S10" s="5">
        <v>1723.3</v>
      </c>
      <c r="T10" s="5">
        <v>315.7</v>
      </c>
      <c r="U10" s="5">
        <v>50.8</v>
      </c>
      <c r="V10" s="36"/>
      <c r="W10" s="5"/>
      <c r="X10" s="58"/>
    </row>
    <row r="11" spans="1:24">
      <c r="A11" s="17">
        <v>1984</v>
      </c>
      <c r="B11" s="22">
        <v>104357</v>
      </c>
      <c r="C11" s="41">
        <v>48197</v>
      </c>
      <c r="D11" s="42">
        <v>30868</v>
      </c>
      <c r="E11" s="42">
        <v>9590</v>
      </c>
      <c r="F11" s="42">
        <v>7739</v>
      </c>
      <c r="G11" s="36">
        <v>7208.0517183600787</v>
      </c>
      <c r="H11" s="5">
        <v>2316.0894957145706</v>
      </c>
      <c r="I11" s="5">
        <v>3105.7</v>
      </c>
      <c r="J11" s="5">
        <v>1786.2622226455087</v>
      </c>
      <c r="K11" s="36">
        <v>169.99827758481948</v>
      </c>
      <c r="L11" s="5">
        <v>152.55274335222271</v>
      </c>
      <c r="M11" s="5">
        <v>166.94841378385652</v>
      </c>
      <c r="N11" s="5">
        <v>196.04661583584704</v>
      </c>
      <c r="O11" s="36">
        <v>4846.3</v>
      </c>
      <c r="P11" s="5">
        <v>3742</v>
      </c>
      <c r="Q11" s="5">
        <v>1104.3</v>
      </c>
      <c r="R11" s="5">
        <v>2515.1</v>
      </c>
      <c r="S11" s="5">
        <v>2147</v>
      </c>
      <c r="T11" s="5">
        <v>368.1</v>
      </c>
      <c r="U11" s="5">
        <v>1.3</v>
      </c>
      <c r="V11" s="36"/>
      <c r="W11" s="5"/>
      <c r="X11" s="58"/>
    </row>
    <row r="12" spans="1:24">
      <c r="A12" s="17">
        <v>1985</v>
      </c>
      <c r="B12" s="22">
        <v>105851</v>
      </c>
      <c r="C12" s="41">
        <v>49873</v>
      </c>
      <c r="D12" s="42">
        <v>31130</v>
      </c>
      <c r="E12" s="42">
        <v>10384</v>
      </c>
      <c r="F12" s="42">
        <v>8359</v>
      </c>
      <c r="G12" s="36">
        <v>9016.0365806124828</v>
      </c>
      <c r="H12" s="5">
        <v>2564.3968905720549</v>
      </c>
      <c r="I12" s="5">
        <v>3866.6</v>
      </c>
      <c r="J12" s="5">
        <v>2585.039690040428</v>
      </c>
      <c r="K12" s="36">
        <v>192.89057305450132</v>
      </c>
      <c r="L12" s="5">
        <v>155.36557908522178</v>
      </c>
      <c r="M12" s="5">
        <v>197.94867790227414</v>
      </c>
      <c r="N12" s="5">
        <v>231.65144712316203</v>
      </c>
      <c r="O12" s="36">
        <v>5986.3</v>
      </c>
      <c r="P12" s="5">
        <v>4687.3999999999996</v>
      </c>
      <c r="Q12" s="5">
        <v>1298.9000000000001</v>
      </c>
      <c r="R12" s="5">
        <v>3457.5</v>
      </c>
      <c r="S12" s="5">
        <v>2672</v>
      </c>
      <c r="T12" s="5">
        <v>785.5</v>
      </c>
      <c r="U12" s="5">
        <v>-367.1</v>
      </c>
      <c r="V12" s="36">
        <v>808.9</v>
      </c>
      <c r="W12" s="5">
        <v>1257.8</v>
      </c>
      <c r="X12" s="58">
        <v>-448.9</v>
      </c>
    </row>
    <row r="13" spans="1:24">
      <c r="A13" s="17">
        <v>1986</v>
      </c>
      <c r="B13" s="22">
        <v>107507</v>
      </c>
      <c r="C13" s="41">
        <v>51282</v>
      </c>
      <c r="D13" s="42">
        <v>31254</v>
      </c>
      <c r="E13" s="42">
        <v>11216</v>
      </c>
      <c r="F13" s="42">
        <v>8811</v>
      </c>
      <c r="G13" s="36">
        <v>10275.179216424738</v>
      </c>
      <c r="H13" s="5">
        <v>2788.6908112417782</v>
      </c>
      <c r="I13" s="5">
        <v>4492.7</v>
      </c>
      <c r="J13" s="5">
        <v>2993.7884051829597</v>
      </c>
      <c r="K13" s="36">
        <v>209.95439968649515</v>
      </c>
      <c r="L13" s="5">
        <v>160.52118096780771</v>
      </c>
      <c r="M13" s="5">
        <v>218.17879295376298</v>
      </c>
      <c r="N13" s="5">
        <v>259.552400134072</v>
      </c>
      <c r="O13" s="36">
        <v>6821.8</v>
      </c>
      <c r="P13" s="5">
        <v>5302.1</v>
      </c>
      <c r="Q13" s="5">
        <v>1519.7</v>
      </c>
      <c r="R13" s="5">
        <v>3941.9</v>
      </c>
      <c r="S13" s="5">
        <v>3139.7</v>
      </c>
      <c r="T13" s="5">
        <v>802.2</v>
      </c>
      <c r="U13" s="5">
        <v>-255.2</v>
      </c>
      <c r="V13" s="36"/>
      <c r="W13" s="5"/>
      <c r="X13" s="58"/>
    </row>
    <row r="14" spans="1:24">
      <c r="A14" s="17">
        <v>1987</v>
      </c>
      <c r="B14" s="22">
        <v>109300</v>
      </c>
      <c r="C14" s="41">
        <v>52783</v>
      </c>
      <c r="D14" s="42">
        <v>31663</v>
      </c>
      <c r="E14" s="42">
        <v>11726</v>
      </c>
      <c r="F14" s="42">
        <v>9395</v>
      </c>
      <c r="G14" s="36">
        <v>12058.615125134151</v>
      </c>
      <c r="H14" s="5">
        <v>3233.0409806657367</v>
      </c>
      <c r="I14" s="5">
        <v>5251.6</v>
      </c>
      <c r="J14" s="5">
        <v>3573.9741444684132</v>
      </c>
      <c r="K14" s="36">
        <v>234.27397162100516</v>
      </c>
      <c r="L14" s="5">
        <v>168.07262137230123</v>
      </c>
      <c r="M14" s="5">
        <v>248.05762917964472</v>
      </c>
      <c r="N14" s="5">
        <v>296.81360815973005</v>
      </c>
      <c r="O14" s="36">
        <v>7804.6</v>
      </c>
      <c r="P14" s="5">
        <v>6126.1</v>
      </c>
      <c r="Q14" s="5">
        <v>1678.5</v>
      </c>
      <c r="R14" s="5">
        <v>4462</v>
      </c>
      <c r="S14" s="5">
        <v>3798.7</v>
      </c>
      <c r="T14" s="5">
        <v>663.3</v>
      </c>
      <c r="U14" s="5">
        <v>10.8</v>
      </c>
      <c r="V14" s="36"/>
      <c r="W14" s="5"/>
      <c r="X14" s="58"/>
    </row>
    <row r="15" spans="1:24">
      <c r="A15" s="17">
        <v>1988</v>
      </c>
      <c r="B15" s="22">
        <v>111026</v>
      </c>
      <c r="C15" s="41">
        <v>54334</v>
      </c>
      <c r="D15" s="42">
        <v>32249</v>
      </c>
      <c r="E15" s="42">
        <v>12152</v>
      </c>
      <c r="F15" s="42">
        <v>9933</v>
      </c>
      <c r="G15" s="36">
        <v>15042.823010095724</v>
      </c>
      <c r="H15" s="5">
        <v>3865.3621686266692</v>
      </c>
      <c r="I15" s="5">
        <v>6587.2</v>
      </c>
      <c r="J15" s="5">
        <v>4590.2608414690558</v>
      </c>
      <c r="K15" s="36">
        <v>260.70144296086636</v>
      </c>
      <c r="L15" s="5">
        <v>172.34873822785775</v>
      </c>
      <c r="M15" s="5">
        <v>284.07100907509152</v>
      </c>
      <c r="N15" s="5">
        <v>335.87363961558236</v>
      </c>
      <c r="O15" s="36">
        <v>9839.5</v>
      </c>
      <c r="P15" s="5">
        <v>7868.1</v>
      </c>
      <c r="Q15" s="5">
        <v>1971.4</v>
      </c>
      <c r="R15" s="5">
        <v>5700.2</v>
      </c>
      <c r="S15" s="5">
        <v>4701.8999999999996</v>
      </c>
      <c r="T15" s="5">
        <v>998.3</v>
      </c>
      <c r="U15" s="5">
        <v>-151.1</v>
      </c>
      <c r="V15" s="36"/>
      <c r="W15" s="5"/>
      <c r="X15" s="58"/>
    </row>
    <row r="16" spans="1:24">
      <c r="A16" s="17">
        <v>1989</v>
      </c>
      <c r="B16" s="22">
        <v>112704</v>
      </c>
      <c r="C16" s="41">
        <v>55329</v>
      </c>
      <c r="D16" s="42">
        <v>33225</v>
      </c>
      <c r="E16" s="42">
        <v>11976</v>
      </c>
      <c r="F16" s="42">
        <v>10129</v>
      </c>
      <c r="G16" s="36">
        <v>16992.319107226751</v>
      </c>
      <c r="H16" s="5">
        <v>4265.9230615905917</v>
      </c>
      <c r="I16" s="5">
        <v>7278</v>
      </c>
      <c r="J16" s="5">
        <v>5448.3960456361601</v>
      </c>
      <c r="K16" s="36">
        <v>271.29427238221569</v>
      </c>
      <c r="L16" s="5">
        <v>177.64839369245715</v>
      </c>
      <c r="M16" s="5">
        <v>294.77453866325578</v>
      </c>
      <c r="N16" s="5">
        <v>353.87722692012193</v>
      </c>
      <c r="O16" s="36">
        <v>11164.2</v>
      </c>
      <c r="P16" s="5">
        <v>8812.6</v>
      </c>
      <c r="Q16" s="5">
        <v>2351.6</v>
      </c>
      <c r="R16" s="5">
        <v>6332.7</v>
      </c>
      <c r="S16" s="5">
        <v>4419.3999999999996</v>
      </c>
      <c r="T16" s="5">
        <v>1913.3</v>
      </c>
      <c r="U16" s="5">
        <v>-185.6</v>
      </c>
      <c r="V16" s="36"/>
      <c r="W16" s="5"/>
      <c r="X16" s="58"/>
    </row>
    <row r="17" spans="1:24">
      <c r="A17" s="17">
        <v>1990</v>
      </c>
      <c r="B17" s="22">
        <v>114333</v>
      </c>
      <c r="C17" s="41">
        <v>64749</v>
      </c>
      <c r="D17" s="42">
        <v>38914</v>
      </c>
      <c r="E17" s="42">
        <v>13856</v>
      </c>
      <c r="F17" s="42">
        <v>11979</v>
      </c>
      <c r="G17" s="36">
        <v>18667.822376105862</v>
      </c>
      <c r="H17" s="5">
        <v>5062</v>
      </c>
      <c r="I17" s="5">
        <v>7717.4</v>
      </c>
      <c r="J17" s="5">
        <v>5888.422376105862</v>
      </c>
      <c r="K17" s="36">
        <v>281.70932715492091</v>
      </c>
      <c r="L17" s="5">
        <v>190.66628844598665</v>
      </c>
      <c r="M17" s="5">
        <v>304.11792055997802</v>
      </c>
      <c r="N17" s="5">
        <v>362.13975352350923</v>
      </c>
      <c r="O17" s="36">
        <v>12090.5</v>
      </c>
      <c r="P17" s="5">
        <v>9450.9</v>
      </c>
      <c r="Q17" s="5">
        <v>2639.6</v>
      </c>
      <c r="R17" s="5">
        <v>6747</v>
      </c>
      <c r="S17" s="5">
        <v>4827.8</v>
      </c>
      <c r="T17" s="5">
        <v>1919.2</v>
      </c>
      <c r="U17" s="5">
        <v>510.3</v>
      </c>
      <c r="V17" s="36">
        <v>2985.8</v>
      </c>
      <c r="W17" s="5">
        <v>2574.3000000000002</v>
      </c>
      <c r="X17" s="58">
        <v>411.5</v>
      </c>
    </row>
    <row r="18" spans="1:24">
      <c r="A18" s="17">
        <v>1991</v>
      </c>
      <c r="B18" s="22">
        <v>115823</v>
      </c>
      <c r="C18" s="41">
        <v>65491</v>
      </c>
      <c r="D18" s="42">
        <v>39098</v>
      </c>
      <c r="E18" s="42">
        <v>14015</v>
      </c>
      <c r="F18" s="42">
        <v>12378</v>
      </c>
      <c r="G18" s="36">
        <v>21781.499410788158</v>
      </c>
      <c r="H18" s="5">
        <v>5342.2</v>
      </c>
      <c r="I18" s="5">
        <v>9102.2000000000007</v>
      </c>
      <c r="J18" s="5">
        <v>7337.0994107881561</v>
      </c>
      <c r="K18" s="36">
        <v>307.56724796974379</v>
      </c>
      <c r="L18" s="5">
        <v>195.24197533633881</v>
      </c>
      <c r="M18" s="5">
        <v>346.2516548050254</v>
      </c>
      <c r="N18" s="5">
        <v>394.27122524650702</v>
      </c>
      <c r="O18" s="36">
        <v>14091.9</v>
      </c>
      <c r="P18" s="5">
        <v>10730.6</v>
      </c>
      <c r="Q18" s="5">
        <v>3361.3</v>
      </c>
      <c r="R18" s="5">
        <v>7868</v>
      </c>
      <c r="S18" s="5">
        <v>6070.3</v>
      </c>
      <c r="T18" s="5">
        <v>1797.7</v>
      </c>
      <c r="U18" s="5">
        <v>617.5</v>
      </c>
      <c r="V18" s="36">
        <v>3827.1</v>
      </c>
      <c r="W18" s="5">
        <v>3398.7</v>
      </c>
      <c r="X18" s="58">
        <v>428.4</v>
      </c>
    </row>
    <row r="19" spans="1:24">
      <c r="A19" s="17">
        <v>1992</v>
      </c>
      <c r="B19" s="22">
        <v>117171</v>
      </c>
      <c r="C19" s="41">
        <v>66152</v>
      </c>
      <c r="D19" s="42">
        <v>38699</v>
      </c>
      <c r="E19" s="42">
        <v>14355</v>
      </c>
      <c r="F19" s="42">
        <v>13098</v>
      </c>
      <c r="G19" s="36">
        <v>26923.476451121402</v>
      </c>
      <c r="H19" s="5">
        <v>5866.6</v>
      </c>
      <c r="I19" s="5">
        <v>11699.5</v>
      </c>
      <c r="J19" s="5">
        <v>9357.3764511214031</v>
      </c>
      <c r="K19" s="36">
        <v>351.36699660162992</v>
      </c>
      <c r="L19" s="5">
        <v>204.41995194780102</v>
      </c>
      <c r="M19" s="5">
        <v>419.49704560307015</v>
      </c>
      <c r="N19" s="5">
        <v>443.32873884885316</v>
      </c>
      <c r="O19" s="36">
        <v>17203.3</v>
      </c>
      <c r="P19" s="5">
        <v>13000.1</v>
      </c>
      <c r="Q19" s="5">
        <v>4203.2</v>
      </c>
      <c r="R19" s="5">
        <v>10086.299999999999</v>
      </c>
      <c r="S19" s="5">
        <v>8513.7000000000007</v>
      </c>
      <c r="T19" s="5">
        <v>1572.6</v>
      </c>
      <c r="U19" s="5">
        <v>275.60000000000002</v>
      </c>
      <c r="V19" s="36">
        <v>4676.3</v>
      </c>
      <c r="W19" s="5">
        <v>4443.3</v>
      </c>
      <c r="X19" s="58">
        <v>233</v>
      </c>
    </row>
    <row r="20" spans="1:24">
      <c r="A20" s="17">
        <v>1993</v>
      </c>
      <c r="B20" s="22">
        <v>118517</v>
      </c>
      <c r="C20" s="41">
        <v>66808</v>
      </c>
      <c r="D20" s="42">
        <v>37680</v>
      </c>
      <c r="E20" s="42">
        <v>14965</v>
      </c>
      <c r="F20" s="42">
        <v>14163</v>
      </c>
      <c r="G20" s="36">
        <v>35333.924714546243</v>
      </c>
      <c r="H20" s="5">
        <v>6963.7628949561667</v>
      </c>
      <c r="I20" s="5">
        <v>16454.431309439089</v>
      </c>
      <c r="J20" s="5">
        <v>11915.730510150988</v>
      </c>
      <c r="K20" s="36">
        <v>400.43298961966161</v>
      </c>
      <c r="L20" s="5">
        <v>214.03117466017696</v>
      </c>
      <c r="M20" s="5">
        <v>502.83451397327804</v>
      </c>
      <c r="N20" s="5">
        <v>497.35395669313948</v>
      </c>
      <c r="O20" s="36">
        <v>21899.9</v>
      </c>
      <c r="P20" s="5">
        <v>16412.099999999999</v>
      </c>
      <c r="Q20" s="5">
        <v>5487.8</v>
      </c>
      <c r="R20" s="5">
        <v>15717.7</v>
      </c>
      <c r="S20" s="5">
        <v>13309.2</v>
      </c>
      <c r="T20" s="5">
        <v>2408.5</v>
      </c>
      <c r="U20" s="5">
        <v>-679.5</v>
      </c>
      <c r="V20" s="36">
        <v>5284.8</v>
      </c>
      <c r="W20" s="5">
        <v>5986.2</v>
      </c>
      <c r="X20" s="58">
        <v>-701.4</v>
      </c>
    </row>
    <row r="21" spans="1:24">
      <c r="A21" s="17">
        <v>1994</v>
      </c>
      <c r="B21" s="22">
        <v>119850</v>
      </c>
      <c r="C21" s="41">
        <v>67455</v>
      </c>
      <c r="D21" s="42">
        <v>36628</v>
      </c>
      <c r="E21" s="42">
        <v>15312</v>
      </c>
      <c r="F21" s="42">
        <v>15515</v>
      </c>
      <c r="G21" s="36">
        <v>48197.856444709192</v>
      </c>
      <c r="H21" s="5">
        <v>9572.6947500939077</v>
      </c>
      <c r="I21" s="5">
        <v>22445.399060048316</v>
      </c>
      <c r="J21" s="5">
        <v>16179.762634566971</v>
      </c>
      <c r="K21" s="36">
        <v>452.81235495015085</v>
      </c>
      <c r="L21" s="5">
        <v>222.59348575981437</v>
      </c>
      <c r="M21" s="5">
        <v>595.15278858595343</v>
      </c>
      <c r="N21" s="5">
        <v>552.51558763658534</v>
      </c>
      <c r="O21" s="36">
        <v>29242.2</v>
      </c>
      <c r="P21" s="5">
        <v>21844.2</v>
      </c>
      <c r="Q21" s="5">
        <v>7398</v>
      </c>
      <c r="R21" s="5">
        <v>20341.099999999999</v>
      </c>
      <c r="S21" s="5">
        <v>17312.7</v>
      </c>
      <c r="T21" s="5">
        <v>3028.4</v>
      </c>
      <c r="U21" s="5">
        <v>634.1</v>
      </c>
      <c r="V21" s="36">
        <v>10421.799999999999</v>
      </c>
      <c r="W21" s="5">
        <v>9960.1</v>
      </c>
      <c r="X21" s="58">
        <v>461.7</v>
      </c>
    </row>
    <row r="22" spans="1:24">
      <c r="A22" s="17">
        <v>1995</v>
      </c>
      <c r="B22" s="22">
        <v>121121</v>
      </c>
      <c r="C22" s="41">
        <v>68065</v>
      </c>
      <c r="D22" s="42">
        <v>35530</v>
      </c>
      <c r="E22" s="42">
        <v>15655</v>
      </c>
      <c r="F22" s="42">
        <v>16880</v>
      </c>
      <c r="G22" s="36">
        <v>60793.729211331403</v>
      </c>
      <c r="H22" s="5">
        <v>12135.81140421533</v>
      </c>
      <c r="I22" s="5">
        <v>28679.45750448529</v>
      </c>
      <c r="J22" s="5">
        <v>19978.460302630781</v>
      </c>
      <c r="K22" s="36">
        <v>502.28201564269045</v>
      </c>
      <c r="L22" s="5">
        <v>233.7248702297824</v>
      </c>
      <c r="M22" s="5">
        <v>677.73364668913462</v>
      </c>
      <c r="N22" s="5">
        <v>606.88099937076458</v>
      </c>
      <c r="O22" s="36">
        <v>36748.199999999997</v>
      </c>
      <c r="P22" s="5">
        <v>28369.7</v>
      </c>
      <c r="Q22" s="5">
        <v>8378.5</v>
      </c>
      <c r="R22" s="5">
        <v>25470.1</v>
      </c>
      <c r="S22" s="5">
        <v>20885</v>
      </c>
      <c r="T22" s="5">
        <v>4585.1000000000004</v>
      </c>
      <c r="U22" s="5">
        <v>998.6</v>
      </c>
      <c r="V22" s="36">
        <v>12451.8</v>
      </c>
      <c r="W22" s="5">
        <v>11048.1</v>
      </c>
      <c r="X22" s="58">
        <v>1403.7</v>
      </c>
    </row>
    <row r="23" spans="1:24">
      <c r="A23" s="17">
        <v>1996</v>
      </c>
      <c r="B23" s="22">
        <v>122389</v>
      </c>
      <c r="C23" s="41">
        <v>68950</v>
      </c>
      <c r="D23" s="42">
        <v>34820</v>
      </c>
      <c r="E23" s="42">
        <v>16203</v>
      </c>
      <c r="F23" s="42">
        <v>17927</v>
      </c>
      <c r="G23" s="36">
        <v>71176.591653987125</v>
      </c>
      <c r="H23" s="5">
        <v>14015.389992483675</v>
      </c>
      <c r="I23" s="5">
        <v>33834.959013514926</v>
      </c>
      <c r="J23" s="5">
        <v>23326.242647988525</v>
      </c>
      <c r="K23" s="36">
        <v>552.5530289599692</v>
      </c>
      <c r="L23" s="5">
        <v>245.64673881369828</v>
      </c>
      <c r="M23" s="5">
        <v>759.78251319831247</v>
      </c>
      <c r="N23" s="5">
        <v>664.08871945565306</v>
      </c>
      <c r="O23" s="36">
        <v>43919.5</v>
      </c>
      <c r="P23" s="5">
        <v>33955.9</v>
      </c>
      <c r="Q23" s="5">
        <v>9963.6</v>
      </c>
      <c r="R23" s="5">
        <v>28784.9</v>
      </c>
      <c r="S23" s="5">
        <v>24048.1</v>
      </c>
      <c r="T23" s="5">
        <v>4736.8</v>
      </c>
      <c r="U23" s="5">
        <v>1459.2</v>
      </c>
      <c r="V23" s="36">
        <v>12576.4</v>
      </c>
      <c r="W23" s="5">
        <v>11557.4</v>
      </c>
      <c r="X23" s="58">
        <v>1019</v>
      </c>
    </row>
    <row r="24" spans="1:24">
      <c r="A24" s="17">
        <v>1997</v>
      </c>
      <c r="B24" s="22">
        <v>123626</v>
      </c>
      <c r="C24" s="41">
        <v>69820</v>
      </c>
      <c r="D24" s="42">
        <v>34840</v>
      </c>
      <c r="E24" s="42">
        <v>16547</v>
      </c>
      <c r="F24" s="42">
        <v>18432</v>
      </c>
      <c r="G24" s="36">
        <v>78973.034996491449</v>
      </c>
      <c r="H24" s="5">
        <v>14441.88566713665</v>
      </c>
      <c r="I24" s="5">
        <v>37543.002190786159</v>
      </c>
      <c r="J24" s="5">
        <v>26988.147138568638</v>
      </c>
      <c r="K24" s="36">
        <v>603.92407058200672</v>
      </c>
      <c r="L24" s="5">
        <v>254.2432535528815</v>
      </c>
      <c r="M24" s="5">
        <v>839.39998108897259</v>
      </c>
      <c r="N24" s="5">
        <v>735.25916427164896</v>
      </c>
      <c r="O24" s="36">
        <v>48140.6</v>
      </c>
      <c r="P24" s="5">
        <v>36921.5</v>
      </c>
      <c r="Q24" s="5">
        <v>11219.1</v>
      </c>
      <c r="R24" s="5">
        <v>29968</v>
      </c>
      <c r="S24" s="5">
        <v>25965</v>
      </c>
      <c r="T24" s="5">
        <v>4003</v>
      </c>
      <c r="U24" s="5">
        <v>3549.9</v>
      </c>
      <c r="V24" s="36">
        <v>15160.7</v>
      </c>
      <c r="W24" s="5">
        <v>11806.5</v>
      </c>
      <c r="X24" s="58">
        <v>3354.2</v>
      </c>
    </row>
    <row r="25" spans="1:24">
      <c r="A25" s="17">
        <v>1998</v>
      </c>
      <c r="B25" s="22">
        <v>124761</v>
      </c>
      <c r="C25" s="41">
        <v>70637</v>
      </c>
      <c r="D25" s="42">
        <v>35177</v>
      </c>
      <c r="E25" s="42">
        <v>16600</v>
      </c>
      <c r="F25" s="42">
        <v>18860</v>
      </c>
      <c r="G25" s="36">
        <v>84402.279768922002</v>
      </c>
      <c r="H25" s="5">
        <v>14817.625518145247</v>
      </c>
      <c r="I25" s="5">
        <v>39004.188543792865</v>
      </c>
      <c r="J25" s="5">
        <v>30580.465706983894</v>
      </c>
      <c r="K25" s="36">
        <v>651.23153781282645</v>
      </c>
      <c r="L25" s="5">
        <v>263.14000023918919</v>
      </c>
      <c r="M25" s="5">
        <v>914.1940585273378</v>
      </c>
      <c r="N25" s="5">
        <v>796.81698335667522</v>
      </c>
      <c r="O25" s="36">
        <v>51588.2</v>
      </c>
      <c r="P25" s="5">
        <v>39229.300000000003</v>
      </c>
      <c r="Q25" s="5">
        <v>12358.9</v>
      </c>
      <c r="R25" s="5">
        <v>31314.2</v>
      </c>
      <c r="S25" s="5">
        <v>28569</v>
      </c>
      <c r="T25" s="5">
        <v>2745.2</v>
      </c>
      <c r="U25" s="5">
        <v>3629.2</v>
      </c>
      <c r="V25" s="36">
        <v>15223.6</v>
      </c>
      <c r="W25" s="5">
        <v>11626.1</v>
      </c>
      <c r="X25" s="58">
        <v>3597.5</v>
      </c>
    </row>
    <row r="26" spans="1:24">
      <c r="A26" s="17">
        <v>1999</v>
      </c>
      <c r="B26" s="22">
        <v>125786</v>
      </c>
      <c r="C26" s="41">
        <v>71394</v>
      </c>
      <c r="D26" s="42">
        <v>35768</v>
      </c>
      <c r="E26" s="42">
        <v>16421</v>
      </c>
      <c r="F26" s="42">
        <v>19205</v>
      </c>
      <c r="G26" s="36">
        <v>89677.054750904499</v>
      </c>
      <c r="H26" s="5">
        <v>14770.028471086789</v>
      </c>
      <c r="I26" s="5">
        <v>41033.581585429209</v>
      </c>
      <c r="J26" s="5">
        <v>33873.444694388505</v>
      </c>
      <c r="K26" s="36">
        <v>700.85431116189659</v>
      </c>
      <c r="L26" s="5">
        <v>270.50792024588651</v>
      </c>
      <c r="M26" s="5">
        <v>988.57042404744845</v>
      </c>
      <c r="N26" s="5">
        <v>871.15845048610356</v>
      </c>
      <c r="O26" s="36">
        <v>55636.9</v>
      </c>
      <c r="P26" s="5">
        <v>41920.400000000001</v>
      </c>
      <c r="Q26" s="5">
        <v>13716.5</v>
      </c>
      <c r="R26" s="5">
        <v>32951.5</v>
      </c>
      <c r="S26" s="5">
        <v>30527.3</v>
      </c>
      <c r="T26" s="5">
        <v>2424.1999999999998</v>
      </c>
      <c r="U26" s="5">
        <v>2536.6</v>
      </c>
      <c r="V26" s="36">
        <v>16159.8</v>
      </c>
      <c r="W26" s="5">
        <v>13736.4</v>
      </c>
      <c r="X26" s="58">
        <v>2423.4</v>
      </c>
    </row>
    <row r="27" spans="1:24">
      <c r="A27" s="17">
        <v>2000</v>
      </c>
      <c r="B27" s="22">
        <v>126743</v>
      </c>
      <c r="C27" s="41">
        <v>72085</v>
      </c>
      <c r="D27" s="42">
        <v>36042.5</v>
      </c>
      <c r="E27" s="42">
        <v>16219.125</v>
      </c>
      <c r="F27" s="42">
        <v>19823.375</v>
      </c>
      <c r="G27" s="36">
        <v>99214.554308477207</v>
      </c>
      <c r="H27" s="5">
        <v>14944.722503171741</v>
      </c>
      <c r="I27" s="5">
        <v>45555.877958968071</v>
      </c>
      <c r="J27" s="5">
        <v>38713.953846337397</v>
      </c>
      <c r="K27" s="36">
        <v>759.94529667542611</v>
      </c>
      <c r="L27" s="5">
        <v>277.000075064035</v>
      </c>
      <c r="M27" s="5">
        <v>1081.7832326737439</v>
      </c>
      <c r="N27" s="5">
        <v>956.08713556458906</v>
      </c>
      <c r="O27" s="36">
        <v>61516</v>
      </c>
      <c r="P27" s="5">
        <v>45854.6</v>
      </c>
      <c r="Q27" s="5">
        <v>15661.4</v>
      </c>
      <c r="R27" s="5">
        <v>34842.800000000003</v>
      </c>
      <c r="S27" s="5">
        <v>33844.400000000001</v>
      </c>
      <c r="T27" s="5">
        <v>998.4</v>
      </c>
      <c r="U27" s="5">
        <v>2390.1999999999998</v>
      </c>
      <c r="V27" s="36">
        <v>20634.400000000001</v>
      </c>
      <c r="W27" s="5">
        <v>18638.8</v>
      </c>
      <c r="X27" s="58">
        <v>1995.6</v>
      </c>
    </row>
    <row r="28" spans="1:24">
      <c r="A28" s="17">
        <v>2001</v>
      </c>
      <c r="B28" s="22">
        <v>127627</v>
      </c>
      <c r="C28" s="41">
        <v>72797</v>
      </c>
      <c r="D28" s="42">
        <v>36398.5</v>
      </c>
      <c r="E28" s="42">
        <v>16233.731000000002</v>
      </c>
      <c r="F28" s="42">
        <v>20164.769</v>
      </c>
      <c r="G28" s="36">
        <v>109655.17055815921</v>
      </c>
      <c r="H28" s="5">
        <v>15781.269049012264</v>
      </c>
      <c r="I28" s="5">
        <v>49512.290969951253</v>
      </c>
      <c r="J28" s="5">
        <v>44361.610539195695</v>
      </c>
      <c r="K28" s="36">
        <v>823.02316982034336</v>
      </c>
      <c r="L28" s="5">
        <v>284.7562741005691</v>
      </c>
      <c r="M28" s="5">
        <v>1173.1021343087605</v>
      </c>
      <c r="N28" s="5">
        <v>1054.1570285247633</v>
      </c>
      <c r="O28" s="36">
        <v>66933.886846226553</v>
      </c>
      <c r="P28" s="5">
        <v>49435.858194085864</v>
      </c>
      <c r="Q28" s="5">
        <v>17498.028652140685</v>
      </c>
      <c r="R28" s="5">
        <v>39769.4</v>
      </c>
      <c r="S28" s="5">
        <v>37754.5</v>
      </c>
      <c r="T28" s="5">
        <v>2014.9</v>
      </c>
      <c r="U28" s="5">
        <v>2324.6999999999998</v>
      </c>
      <c r="V28" s="36">
        <v>22024.400000000001</v>
      </c>
      <c r="W28" s="5">
        <v>20159.2</v>
      </c>
      <c r="X28" s="58">
        <v>1865.2</v>
      </c>
    </row>
    <row r="29" spans="1:24">
      <c r="A29" s="17">
        <v>2002</v>
      </c>
      <c r="B29" s="22">
        <v>128453</v>
      </c>
      <c r="C29" s="41">
        <v>73280</v>
      </c>
      <c r="D29" s="42">
        <v>36640</v>
      </c>
      <c r="E29" s="42">
        <v>15681.92</v>
      </c>
      <c r="F29" s="42">
        <v>20958.080000000002</v>
      </c>
      <c r="G29" s="36">
        <v>120332.68927425226</v>
      </c>
      <c r="H29" s="5">
        <v>16537.019657742621</v>
      </c>
      <c r="I29" s="5">
        <v>53896.767792499406</v>
      </c>
      <c r="J29" s="5">
        <v>49898.90182401023</v>
      </c>
      <c r="K29" s="36">
        <v>897.77069350898955</v>
      </c>
      <c r="L29" s="5">
        <v>293.01427800641028</v>
      </c>
      <c r="M29" s="5">
        <v>1288.4097676351091</v>
      </c>
      <c r="N29" s="5">
        <v>1164.2353619879675</v>
      </c>
      <c r="O29" s="36">
        <v>71816.515009944473</v>
      </c>
      <c r="P29" s="5">
        <v>53056.565610040561</v>
      </c>
      <c r="Q29" s="5">
        <v>18759.949399903908</v>
      </c>
      <c r="R29" s="5">
        <v>45565</v>
      </c>
      <c r="S29" s="5">
        <v>43632.1</v>
      </c>
      <c r="T29" s="5">
        <v>1932.9</v>
      </c>
      <c r="U29" s="5">
        <v>3094.1</v>
      </c>
      <c r="V29" s="36">
        <v>26947.9</v>
      </c>
      <c r="W29" s="5">
        <v>24430.3</v>
      </c>
      <c r="X29" s="58">
        <v>2517.6</v>
      </c>
    </row>
    <row r="30" spans="1:24">
      <c r="A30" s="17">
        <v>2003</v>
      </c>
      <c r="B30" s="22">
        <v>129227</v>
      </c>
      <c r="C30" s="41">
        <v>73736</v>
      </c>
      <c r="D30" s="42">
        <v>36204.376000000004</v>
      </c>
      <c r="E30" s="42">
        <v>15926.976000000001</v>
      </c>
      <c r="F30" s="42">
        <v>21604.648000000001</v>
      </c>
      <c r="G30" s="36">
        <v>135822.75614955736</v>
      </c>
      <c r="H30" s="5">
        <v>17381.717701090576</v>
      </c>
      <c r="I30" s="5">
        <v>62436.312136031615</v>
      </c>
      <c r="J30" s="5">
        <v>56004.726312435174</v>
      </c>
      <c r="K30" s="36">
        <v>987.77560594261047</v>
      </c>
      <c r="L30" s="5">
        <v>300.33949293632452</v>
      </c>
      <c r="M30" s="5">
        <v>1451.6758535155886</v>
      </c>
      <c r="N30" s="5">
        <v>1274.8726615382989</v>
      </c>
      <c r="O30" s="36">
        <v>77685.512250323518</v>
      </c>
      <c r="P30" s="5">
        <v>57649.81249205854</v>
      </c>
      <c r="Q30" s="5">
        <v>20035.699758264971</v>
      </c>
      <c r="R30" s="5">
        <v>55963</v>
      </c>
      <c r="S30" s="5">
        <v>53490.7</v>
      </c>
      <c r="T30" s="5">
        <v>2472.3000000000002</v>
      </c>
      <c r="U30" s="5">
        <v>2964.9148528171863</v>
      </c>
      <c r="V30" s="36">
        <v>36287.9</v>
      </c>
      <c r="W30" s="5">
        <v>34195.599999999999</v>
      </c>
      <c r="X30" s="58">
        <v>2092.3000000000002</v>
      </c>
    </row>
    <row r="31" spans="1:24">
      <c r="A31" s="17">
        <v>2004</v>
      </c>
      <c r="B31" s="22">
        <v>129988</v>
      </c>
      <c r="C31" s="41">
        <v>74264</v>
      </c>
      <c r="D31" s="42">
        <v>34829.815999999999</v>
      </c>
      <c r="E31" s="42">
        <v>16709.400000000001</v>
      </c>
      <c r="F31" s="42">
        <v>22724.784</v>
      </c>
      <c r="G31" s="36">
        <v>159878.33791738964</v>
      </c>
      <c r="H31" s="5">
        <v>21412.734041131451</v>
      </c>
      <c r="I31" s="5">
        <v>73904.311870643694</v>
      </c>
      <c r="J31" s="5">
        <v>64561.292005614494</v>
      </c>
      <c r="K31" s="36">
        <v>1087.393169672049</v>
      </c>
      <c r="L31" s="5">
        <v>319.2609615073244</v>
      </c>
      <c r="M31" s="5">
        <v>1612.9926767407035</v>
      </c>
      <c r="N31" s="5">
        <v>1403.0794160817206</v>
      </c>
      <c r="O31" s="36">
        <v>87552.579700605478</v>
      </c>
      <c r="P31" s="5">
        <v>65218.479700605472</v>
      </c>
      <c r="Q31" s="5">
        <v>22334.12</v>
      </c>
      <c r="R31" s="5">
        <v>69168.41129283153</v>
      </c>
      <c r="S31" s="5">
        <v>65117.7</v>
      </c>
      <c r="T31" s="5">
        <v>4050.7</v>
      </c>
      <c r="U31" s="5">
        <v>4235.6012940666187</v>
      </c>
      <c r="V31" s="36">
        <v>49103.3</v>
      </c>
      <c r="W31" s="5">
        <v>46435.8</v>
      </c>
      <c r="X31" s="58">
        <v>2667.5</v>
      </c>
    </row>
    <row r="32" spans="1:24">
      <c r="A32" s="17">
        <v>2005</v>
      </c>
      <c r="B32" s="22">
        <v>130756</v>
      </c>
      <c r="C32" s="41">
        <v>74647</v>
      </c>
      <c r="D32" s="42">
        <v>33441.856</v>
      </c>
      <c r="E32" s="42">
        <v>17765.986000000001</v>
      </c>
      <c r="F32" s="42">
        <v>23439.157999999999</v>
      </c>
      <c r="G32" s="36">
        <v>184937.36896018017</v>
      </c>
      <c r="H32" s="5">
        <v>22420</v>
      </c>
      <c r="I32" s="5">
        <v>87598.09378580685</v>
      </c>
      <c r="J32" s="5">
        <v>74919.275174373324</v>
      </c>
      <c r="K32" s="36">
        <v>1210.3777201780401</v>
      </c>
      <c r="L32" s="5">
        <v>335.960610180358</v>
      </c>
      <c r="M32" s="5">
        <v>1807.8796885345905</v>
      </c>
      <c r="N32" s="5">
        <v>1574.673503862301</v>
      </c>
      <c r="O32" s="36">
        <v>99357.54316751119</v>
      </c>
      <c r="P32" s="5">
        <v>72958.714367511202</v>
      </c>
      <c r="Q32" s="5">
        <v>26398.828799999992</v>
      </c>
      <c r="R32" s="5">
        <v>77856.823738716848</v>
      </c>
      <c r="S32" s="5">
        <v>74232.899999999994</v>
      </c>
      <c r="T32" s="5">
        <v>3624</v>
      </c>
      <c r="U32" s="5">
        <v>10209.053372217328</v>
      </c>
      <c r="V32" s="36">
        <v>62648.1</v>
      </c>
      <c r="W32" s="5">
        <v>54273.7</v>
      </c>
      <c r="X32" s="58">
        <v>8374.4</v>
      </c>
    </row>
    <row r="33" spans="1:24">
      <c r="A33" s="17">
        <v>2006</v>
      </c>
      <c r="B33" s="22">
        <v>131448</v>
      </c>
      <c r="C33" s="41">
        <v>74978</v>
      </c>
      <c r="D33" s="42">
        <v>31940.628000000004</v>
      </c>
      <c r="E33" s="42">
        <v>18894.455999999998</v>
      </c>
      <c r="F33" s="42">
        <v>24142.916000000001</v>
      </c>
      <c r="G33" s="36">
        <v>216314.42593935409</v>
      </c>
      <c r="H33" s="5">
        <v>24040</v>
      </c>
      <c r="I33" s="5">
        <v>103719.54158238039</v>
      </c>
      <c r="J33" s="5">
        <v>88554.884356973693</v>
      </c>
      <c r="K33" s="36">
        <v>1363.8116659852788</v>
      </c>
      <c r="L33" s="5">
        <v>352.75864068937591</v>
      </c>
      <c r="M33" s="5">
        <v>2049.9751177524017</v>
      </c>
      <c r="N33" s="5">
        <v>1797.3048683154716</v>
      </c>
      <c r="O33" s="36">
        <v>113103.84834683378</v>
      </c>
      <c r="P33" s="5">
        <v>82575.450746833783</v>
      </c>
      <c r="Q33" s="5">
        <v>30528.397599999993</v>
      </c>
      <c r="R33" s="5">
        <v>92954.078954749479</v>
      </c>
      <c r="S33" s="5">
        <v>87954.1</v>
      </c>
      <c r="T33" s="5">
        <v>5000</v>
      </c>
      <c r="U33" s="5">
        <v>16654.598823338267</v>
      </c>
      <c r="V33" s="36">
        <v>77597.2</v>
      </c>
      <c r="W33" s="5">
        <v>63376.856297189996</v>
      </c>
      <c r="X33" s="58">
        <v>14220.3</v>
      </c>
    </row>
    <row r="34" spans="1:24">
      <c r="A34" s="17">
        <v>2007</v>
      </c>
      <c r="B34" s="22">
        <v>132129</v>
      </c>
      <c r="C34" s="41">
        <v>75321</v>
      </c>
      <c r="D34" s="42">
        <v>30730.967999999997</v>
      </c>
      <c r="E34" s="42">
        <v>20186.028000000002</v>
      </c>
      <c r="F34" s="42">
        <v>24404.004000000001</v>
      </c>
      <c r="G34" s="36">
        <v>265810.30584365001</v>
      </c>
      <c r="H34" s="5">
        <v>28627</v>
      </c>
      <c r="I34" s="5">
        <v>125831.35804184723</v>
      </c>
      <c r="J34" s="5">
        <v>111351.9478018028</v>
      </c>
      <c r="K34" s="36">
        <v>1556.9600611336502</v>
      </c>
      <c r="L34" s="5">
        <v>365.9659241967862</v>
      </c>
      <c r="M34" s="5">
        <v>2358.7696283710407</v>
      </c>
      <c r="N34" s="5">
        <v>2084.5866465521071</v>
      </c>
      <c r="O34" s="36">
        <v>132232.8676761098</v>
      </c>
      <c r="P34" s="5">
        <v>96332.496293109798</v>
      </c>
      <c r="Q34" s="5">
        <v>35900.371383000005</v>
      </c>
      <c r="R34" s="5">
        <v>110943.24513986355</v>
      </c>
      <c r="S34" s="5">
        <v>103948.6</v>
      </c>
      <c r="T34" s="5">
        <v>6994.6</v>
      </c>
      <c r="U34" s="5">
        <v>23423.059628686315</v>
      </c>
      <c r="V34" s="36">
        <v>93563.6</v>
      </c>
      <c r="W34" s="5">
        <v>73300.100000000006</v>
      </c>
      <c r="X34" s="58">
        <v>20263.5</v>
      </c>
    </row>
    <row r="35" spans="1:24">
      <c r="A35" s="17">
        <v>2008</v>
      </c>
      <c r="B35" s="22">
        <v>132802</v>
      </c>
      <c r="C35" s="41">
        <v>75564</v>
      </c>
      <c r="D35" s="42">
        <v>29923.343999999997</v>
      </c>
      <c r="E35" s="42">
        <v>20553.407999999999</v>
      </c>
      <c r="F35" s="42">
        <v>25087.248000000003</v>
      </c>
      <c r="G35" s="36">
        <v>314045.42708655354</v>
      </c>
      <c r="H35" s="5">
        <v>33702</v>
      </c>
      <c r="I35" s="5">
        <v>149003.44</v>
      </c>
      <c r="J35" s="5">
        <v>131339.9870865535</v>
      </c>
      <c r="K35" s="36">
        <v>1706.9679972066833</v>
      </c>
      <c r="L35" s="5">
        <v>385.64933003261797</v>
      </c>
      <c r="M35" s="5">
        <v>2591.7562059808924</v>
      </c>
      <c r="N35" s="5">
        <v>2301.4449729684416</v>
      </c>
      <c r="O35" s="36">
        <v>153422.49389960407</v>
      </c>
      <c r="P35" s="5">
        <v>111670.40089960409</v>
      </c>
      <c r="Q35" s="5">
        <v>41752.092999999986</v>
      </c>
      <c r="R35" s="5">
        <v>138325.30398486511</v>
      </c>
      <c r="S35" s="5">
        <v>128084.4</v>
      </c>
      <c r="T35" s="5">
        <v>10240.9</v>
      </c>
      <c r="U35" s="5">
        <v>24226.768260073848</v>
      </c>
      <c r="V35" s="36">
        <v>100394.94142387</v>
      </c>
      <c r="W35" s="5">
        <v>79526.528770260004</v>
      </c>
      <c r="X35" s="58">
        <v>20868.412653609994</v>
      </c>
    </row>
    <row r="36" spans="1:24">
      <c r="A36" s="17">
        <v>2009</v>
      </c>
      <c r="B36" s="22">
        <v>133450</v>
      </c>
      <c r="C36" s="41">
        <v>75828</v>
      </c>
      <c r="D36" s="42">
        <v>28890.468000000004</v>
      </c>
      <c r="E36" s="42">
        <v>21080.183999999997</v>
      </c>
      <c r="F36" s="42">
        <v>25857.348000000002</v>
      </c>
      <c r="G36" s="36">
        <v>340902.81258114678</v>
      </c>
      <c r="H36" s="5">
        <v>35226</v>
      </c>
      <c r="I36" s="5">
        <v>157638.77657270228</v>
      </c>
      <c r="J36" s="5">
        <v>148038.0360084445</v>
      </c>
      <c r="K36" s="36">
        <v>1864.2514243057124</v>
      </c>
      <c r="L36" s="5">
        <v>401.78315821208184</v>
      </c>
      <c r="M36" s="5">
        <v>2849.3865967003567</v>
      </c>
      <c r="N36" s="5">
        <v>2521.5494342001093</v>
      </c>
      <c r="O36" s="36">
        <v>169274.79885908985</v>
      </c>
      <c r="P36" s="5">
        <v>123584.62088159178</v>
      </c>
      <c r="Q36" s="5">
        <v>45690.177977498075</v>
      </c>
      <c r="R36" s="5">
        <v>164463.22379397115</v>
      </c>
      <c r="S36" s="5">
        <v>156679.79999999999</v>
      </c>
      <c r="T36" s="5">
        <v>7783.4</v>
      </c>
      <c r="U36" s="5">
        <v>15037.044043281727</v>
      </c>
      <c r="V36" s="36">
        <v>82029.693934120005</v>
      </c>
      <c r="W36" s="5">
        <v>68618.3695744</v>
      </c>
      <c r="X36" s="58">
        <v>13411.324359720005</v>
      </c>
    </row>
    <row r="37" spans="1:24">
      <c r="A37" s="17">
        <v>2010</v>
      </c>
      <c r="B37" s="22">
        <v>134091</v>
      </c>
      <c r="C37" s="41">
        <v>76105</v>
      </c>
      <c r="D37" s="42">
        <v>27930.535</v>
      </c>
      <c r="E37" s="42">
        <v>21842.134999999998</v>
      </c>
      <c r="F37" s="42">
        <v>26332.33</v>
      </c>
      <c r="G37" s="36">
        <v>401512.79520725785</v>
      </c>
      <c r="H37" s="5">
        <v>40533.599999999999</v>
      </c>
      <c r="I37" s="5">
        <v>187383.21125447945</v>
      </c>
      <c r="J37" s="5">
        <v>173595.98395277839</v>
      </c>
      <c r="K37" s="36">
        <v>2059.0095687904422</v>
      </c>
      <c r="L37" s="5">
        <v>418.94449048531322</v>
      </c>
      <c r="M37" s="5">
        <v>3198.4433229169399</v>
      </c>
      <c r="N37" s="5">
        <v>2767.4513663531702</v>
      </c>
      <c r="O37" s="36">
        <v>194114.95506736118</v>
      </c>
      <c r="P37" s="5">
        <v>140758.64687988264</v>
      </c>
      <c r="Q37" s="5">
        <v>53356.308187478549</v>
      </c>
      <c r="R37" s="5">
        <v>193603.91114298758</v>
      </c>
      <c r="S37" s="5">
        <v>183615.2</v>
      </c>
      <c r="T37" s="5">
        <v>9988.7000000000007</v>
      </c>
      <c r="U37" s="5">
        <v>15097.600995597997</v>
      </c>
      <c r="V37" s="36">
        <v>107022.8428244</v>
      </c>
      <c r="W37" s="5">
        <v>94699.304156049999</v>
      </c>
      <c r="X37" s="58">
        <v>12323.538668349996</v>
      </c>
    </row>
    <row r="38" spans="1:24">
      <c r="A38" s="17">
        <v>2011</v>
      </c>
      <c r="B38" s="22">
        <v>134735</v>
      </c>
      <c r="C38" s="41">
        <v>76420</v>
      </c>
      <c r="D38" s="42">
        <v>26594</v>
      </c>
      <c r="E38" s="42">
        <v>22544</v>
      </c>
      <c r="F38" s="42">
        <v>27282</v>
      </c>
      <c r="G38" s="36">
        <v>473104.04864726227</v>
      </c>
      <c r="H38" s="5">
        <v>47486.210591548283</v>
      </c>
      <c r="I38" s="5">
        <v>220412.81430633471</v>
      </c>
      <c r="J38" s="5">
        <v>205205.02374937927</v>
      </c>
      <c r="K38" s="36">
        <v>2250.4950952749891</v>
      </c>
      <c r="L38" s="5">
        <v>436.7515083897664</v>
      </c>
      <c r="M38" s="5">
        <v>3527.3953797944691</v>
      </c>
      <c r="N38" s="5">
        <v>3028.0292878181185</v>
      </c>
      <c r="O38" s="36">
        <v>232111.54809679446</v>
      </c>
      <c r="P38" s="5">
        <v>168956.6302617336</v>
      </c>
      <c r="Q38" s="5">
        <v>63154.917835060871</v>
      </c>
      <c r="R38" s="5">
        <v>228344.27867671999</v>
      </c>
      <c r="S38" s="5">
        <v>216203.3</v>
      </c>
      <c r="T38" s="5">
        <v>121401</v>
      </c>
      <c r="U38" s="5">
        <v>12163.343973732321</v>
      </c>
      <c r="V38" s="36">
        <v>123240.59573912001</v>
      </c>
      <c r="W38" s="5">
        <v>113161.39621474</v>
      </c>
      <c r="X38" s="58">
        <v>10079.199524380005</v>
      </c>
    </row>
    <row r="39" spans="1:24">
      <c r="A39" s="19">
        <v>2012</v>
      </c>
      <c r="B39" s="23">
        <v>135404</v>
      </c>
      <c r="C39" s="43">
        <v>76704</v>
      </c>
      <c r="D39" s="44">
        <v>25773</v>
      </c>
      <c r="E39" s="44">
        <v>23241</v>
      </c>
      <c r="F39" s="44">
        <v>27690</v>
      </c>
      <c r="G39" s="37">
        <v>518942.1073236987</v>
      </c>
      <c r="H39" s="38">
        <v>52373.6253143758</v>
      </c>
      <c r="I39" s="38">
        <v>235161.99473664351</v>
      </c>
      <c r="J39" s="38">
        <v>231406.48727267943</v>
      </c>
      <c r="K39" s="37">
        <v>2422.7127516311493</v>
      </c>
      <c r="L39" s="38">
        <v>456.61854818946659</v>
      </c>
      <c r="M39" s="38">
        <v>3806.6342610643837</v>
      </c>
      <c r="N39" s="38">
        <v>3271.9619914291229</v>
      </c>
      <c r="O39" s="37">
        <v>261832.82249239337</v>
      </c>
      <c r="P39" s="38">
        <v>190423.77389239336</v>
      </c>
      <c r="Q39" s="38">
        <v>71409.048599999995</v>
      </c>
      <c r="R39" s="38">
        <v>252773.23730923998</v>
      </c>
      <c r="S39" s="38">
        <v>239333.4</v>
      </c>
      <c r="T39" s="38">
        <v>13439.8</v>
      </c>
      <c r="U39" s="38">
        <v>14632.375</v>
      </c>
      <c r="V39" s="37">
        <v>129359.25</v>
      </c>
      <c r="W39" s="38">
        <v>114800.96000000001</v>
      </c>
      <c r="X39" s="59">
        <v>14558.29</v>
      </c>
    </row>
    <row r="41" spans="1:24">
      <c r="A41" t="s">
        <v>115</v>
      </c>
      <c r="B41" s="9" t="s">
        <v>126</v>
      </c>
    </row>
  </sheetData>
  <mergeCells count="15">
    <mergeCell ref="B2:F2"/>
    <mergeCell ref="G2:J2"/>
    <mergeCell ref="K2:N2"/>
    <mergeCell ref="O2:U2"/>
    <mergeCell ref="V2:X2"/>
    <mergeCell ref="C1:F1"/>
    <mergeCell ref="G1:J1"/>
    <mergeCell ref="K1:N1"/>
    <mergeCell ref="O1:U1"/>
    <mergeCell ref="V1:X1"/>
    <mergeCell ref="C3:F3"/>
    <mergeCell ref="G3:J3"/>
    <mergeCell ref="K3:N3"/>
    <mergeCell ref="O3:U3"/>
    <mergeCell ref="V3:X3"/>
  </mergeCells>
  <pageMargins left="0.7" right="0.7" top="0.75" bottom="0.75" header="0.3" footer="0.3"/>
  <pageSetup scale="71" orientation="portrait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J67"/>
  <sheetViews>
    <sheetView view="pageBreakPreview" zoomScale="115" zoomScaleNormal="100" zoomScaleSheetLayoutView="115" workbookViewId="0">
      <pane xSplit="1" ySplit="4" topLeftCell="AH5" activePane="bottomRight" state="frozen"/>
      <selection pane="topRight" activeCell="B1" sqref="B1"/>
      <selection pane="bottomLeft" activeCell="A3" sqref="A3"/>
      <selection pane="bottomRight" activeCell="BE9" sqref="BE9"/>
    </sheetView>
  </sheetViews>
  <sheetFormatPr defaultRowHeight="15"/>
  <cols>
    <col min="2" max="2" width="11.28515625" customWidth="1"/>
    <col min="3" max="4" width="8.7109375" style="1"/>
    <col min="5" max="5" width="9.42578125" style="1" customWidth="1"/>
    <col min="6" max="6" width="8.7109375" style="1"/>
    <col min="9" max="9" width="10.42578125" customWidth="1"/>
    <col min="13" max="13" width="10.140625" customWidth="1"/>
    <col min="15" max="21" width="12.7109375" customWidth="1"/>
    <col min="22" max="25" width="9.7109375" customWidth="1"/>
    <col min="26" max="26" width="14.28515625" style="17" customWidth="1"/>
    <col min="27" max="27" width="14.28515625" style="28" customWidth="1"/>
    <col min="29" max="33" width="12.28515625" customWidth="1"/>
    <col min="34" max="34" width="12.140625" customWidth="1"/>
    <col min="35" max="36" width="13" customWidth="1"/>
    <col min="37" max="37" width="12.7109375" customWidth="1"/>
    <col min="38" max="38" width="14.28515625" customWidth="1"/>
    <col min="39" max="39" width="12.7109375" customWidth="1"/>
    <col min="40" max="40" width="15.28515625" customWidth="1"/>
    <col min="41" max="41" width="10.28515625" customWidth="1"/>
    <col min="42" max="44" width="13.140625" customWidth="1"/>
    <col min="45" max="47" width="9.85546875" customWidth="1"/>
    <col min="48" max="50" width="12.7109375" customWidth="1"/>
    <col min="52" max="61" width="11.28515625" customWidth="1"/>
  </cols>
  <sheetData>
    <row r="1" spans="1:62">
      <c r="A1" t="s">
        <v>115</v>
      </c>
      <c r="B1" t="s">
        <v>160</v>
      </c>
      <c r="Z1"/>
      <c r="AA1"/>
      <c r="AC1" t="s">
        <v>158</v>
      </c>
      <c r="AV1" t="s">
        <v>168</v>
      </c>
      <c r="AZ1" t="s">
        <v>239</v>
      </c>
    </row>
    <row r="2" spans="1:62">
      <c r="A2" s="10" t="s">
        <v>116</v>
      </c>
      <c r="B2" s="125" t="s">
        <v>106</v>
      </c>
      <c r="C2" s="125"/>
      <c r="D2" s="125"/>
      <c r="E2" s="125"/>
      <c r="F2" s="125"/>
      <c r="G2" s="125" t="s">
        <v>110</v>
      </c>
      <c r="H2" s="125"/>
      <c r="I2" s="125"/>
      <c r="J2" s="125"/>
      <c r="K2" s="125" t="s">
        <v>113</v>
      </c>
      <c r="L2" s="125"/>
      <c r="M2" s="125"/>
      <c r="N2" s="125"/>
      <c r="O2" s="125" t="s">
        <v>110</v>
      </c>
      <c r="P2" s="125"/>
      <c r="Q2" s="125"/>
      <c r="R2" s="125"/>
      <c r="S2" s="125"/>
      <c r="T2" s="125"/>
      <c r="U2" s="125"/>
      <c r="V2" s="125" t="s">
        <v>110</v>
      </c>
      <c r="W2" s="125"/>
      <c r="X2" s="125"/>
      <c r="Y2" s="4"/>
      <c r="Z2" s="122" t="s">
        <v>110</v>
      </c>
      <c r="AA2" s="123"/>
      <c r="AC2" s="122" t="s">
        <v>138</v>
      </c>
      <c r="AD2" s="124"/>
      <c r="AE2" s="124"/>
      <c r="AF2" s="123"/>
      <c r="AG2" s="124" t="s">
        <v>143</v>
      </c>
      <c r="AH2" s="124"/>
      <c r="AI2" s="124"/>
      <c r="AJ2" s="124"/>
      <c r="AK2" s="124"/>
      <c r="AL2" s="124"/>
      <c r="AM2" s="124"/>
      <c r="AN2" s="124"/>
      <c r="AO2" s="123"/>
      <c r="AP2" s="124" t="s">
        <v>154</v>
      </c>
      <c r="AQ2" s="124"/>
      <c r="AR2" s="123"/>
      <c r="AS2" s="124" t="s">
        <v>143</v>
      </c>
      <c r="AT2" s="124"/>
      <c r="AU2" s="123"/>
      <c r="AV2" s="124" t="s">
        <v>154</v>
      </c>
      <c r="AW2" s="124"/>
      <c r="AX2" s="123"/>
      <c r="AZ2" s="122" t="s">
        <v>143</v>
      </c>
      <c r="BA2" s="124"/>
      <c r="BB2" s="124"/>
      <c r="BC2" s="124"/>
      <c r="BD2" s="124"/>
      <c r="BE2" s="124"/>
      <c r="BF2" s="124"/>
      <c r="BG2" s="124"/>
      <c r="BH2" s="123"/>
    </row>
    <row r="3" spans="1:62" s="4" customFormat="1">
      <c r="A3" s="11" t="s">
        <v>117</v>
      </c>
      <c r="B3" s="11" t="s">
        <v>1</v>
      </c>
      <c r="C3" s="128" t="s">
        <v>3</v>
      </c>
      <c r="D3" s="128"/>
      <c r="E3" s="128"/>
      <c r="F3" s="128"/>
      <c r="G3" s="125" t="s">
        <v>111</v>
      </c>
      <c r="H3" s="125"/>
      <c r="I3" s="125"/>
      <c r="J3" s="125"/>
      <c r="K3" s="125" t="s">
        <v>112</v>
      </c>
      <c r="L3" s="125"/>
      <c r="M3" s="125"/>
      <c r="N3" s="125"/>
      <c r="O3" s="125" t="s">
        <v>118</v>
      </c>
      <c r="P3" s="125"/>
      <c r="Q3" s="125"/>
      <c r="R3" s="125"/>
      <c r="S3" s="125"/>
      <c r="T3" s="125"/>
      <c r="U3" s="125"/>
      <c r="V3" s="125" t="s">
        <v>124</v>
      </c>
      <c r="W3" s="125"/>
      <c r="X3" s="125"/>
      <c r="Z3" s="126" t="s">
        <v>134</v>
      </c>
      <c r="AA3" s="127"/>
      <c r="AC3" s="22" t="s">
        <v>32</v>
      </c>
      <c r="AD3" s="4" t="s">
        <v>30</v>
      </c>
      <c r="AE3" s="4" t="s">
        <v>31</v>
      </c>
      <c r="AF3" s="18" t="s">
        <v>33</v>
      </c>
      <c r="AG3" s="4" t="s">
        <v>17</v>
      </c>
      <c r="AH3" s="4" t="s">
        <v>16</v>
      </c>
      <c r="AI3" s="4" t="s">
        <v>19</v>
      </c>
      <c r="AJ3" s="4" t="s">
        <v>18</v>
      </c>
      <c r="AK3" s="4" t="s">
        <v>20</v>
      </c>
      <c r="AL3" s="4" t="s">
        <v>21</v>
      </c>
      <c r="AM3" s="4" t="s">
        <v>22</v>
      </c>
      <c r="AN3" s="4" t="s">
        <v>23</v>
      </c>
      <c r="AO3" s="18" t="s">
        <v>52</v>
      </c>
      <c r="AP3" s="4" t="s">
        <v>24</v>
      </c>
      <c r="AQ3" s="4" t="s">
        <v>25</v>
      </c>
      <c r="AR3" s="18" t="s">
        <v>26</v>
      </c>
      <c r="AS3" s="4" t="s">
        <v>27</v>
      </c>
      <c r="AT3" s="4" t="s">
        <v>28</v>
      </c>
      <c r="AU3" s="18" t="s">
        <v>29</v>
      </c>
      <c r="AV3" s="4" t="s">
        <v>24</v>
      </c>
      <c r="AW3" s="4" t="s">
        <v>25</v>
      </c>
      <c r="AX3" s="18" t="s">
        <v>26</v>
      </c>
      <c r="AZ3" s="22" t="s">
        <v>17</v>
      </c>
      <c r="BA3" s="4" t="s">
        <v>16</v>
      </c>
      <c r="BB3" s="4" t="s">
        <v>19</v>
      </c>
      <c r="BC3" s="4" t="s">
        <v>18</v>
      </c>
      <c r="BD3" s="4" t="s">
        <v>20</v>
      </c>
      <c r="BE3" s="4" t="s">
        <v>21</v>
      </c>
      <c r="BF3" s="4" t="s">
        <v>22</v>
      </c>
      <c r="BG3" s="4" t="s">
        <v>23</v>
      </c>
      <c r="BH3" s="18" t="s">
        <v>52</v>
      </c>
    </row>
    <row r="4" spans="1:62" s="46" customFormat="1" ht="45" customHeight="1">
      <c r="A4" s="47" t="s">
        <v>0</v>
      </c>
      <c r="B4" s="48" t="s">
        <v>2</v>
      </c>
      <c r="C4" s="49" t="s">
        <v>7</v>
      </c>
      <c r="D4" s="50" t="s">
        <v>4</v>
      </c>
      <c r="E4" s="50" t="s">
        <v>5</v>
      </c>
      <c r="F4" s="50" t="s">
        <v>6</v>
      </c>
      <c r="G4" s="48" t="s">
        <v>7</v>
      </c>
      <c r="H4" s="51" t="s">
        <v>4</v>
      </c>
      <c r="I4" s="51" t="s">
        <v>5</v>
      </c>
      <c r="J4" s="51" t="s">
        <v>6</v>
      </c>
      <c r="K4" s="48" t="s">
        <v>7</v>
      </c>
      <c r="L4" s="51" t="s">
        <v>4</v>
      </c>
      <c r="M4" s="51" t="s">
        <v>5</v>
      </c>
      <c r="N4" s="51" t="s">
        <v>6</v>
      </c>
      <c r="O4" s="48" t="s">
        <v>8</v>
      </c>
      <c r="P4" s="51" t="s">
        <v>9</v>
      </c>
      <c r="Q4" s="51" t="s">
        <v>10</v>
      </c>
      <c r="R4" s="52" t="s">
        <v>119</v>
      </c>
      <c r="S4" s="52" t="s">
        <v>120</v>
      </c>
      <c r="T4" s="52" t="s">
        <v>121</v>
      </c>
      <c r="U4" s="51" t="s">
        <v>11</v>
      </c>
      <c r="V4" s="48" t="s">
        <v>13</v>
      </c>
      <c r="W4" s="51" t="s">
        <v>14</v>
      </c>
      <c r="X4" s="53" t="s">
        <v>15</v>
      </c>
      <c r="Z4" s="55" t="s">
        <v>135</v>
      </c>
      <c r="AA4" s="56" t="s">
        <v>140</v>
      </c>
      <c r="AC4" s="55" t="s">
        <v>136</v>
      </c>
      <c r="AD4" s="60" t="s">
        <v>137</v>
      </c>
      <c r="AE4" s="60" t="s">
        <v>141</v>
      </c>
      <c r="AF4" s="56" t="s">
        <v>139</v>
      </c>
      <c r="AG4" s="60" t="s">
        <v>142</v>
      </c>
      <c r="AH4" s="60" t="s">
        <v>144</v>
      </c>
      <c r="AI4" s="60" t="s">
        <v>145</v>
      </c>
      <c r="AJ4" s="60" t="s">
        <v>146</v>
      </c>
      <c r="AK4" s="60" t="s">
        <v>147</v>
      </c>
      <c r="AL4" s="60" t="s">
        <v>148</v>
      </c>
      <c r="AM4" s="60" t="s">
        <v>12</v>
      </c>
      <c r="AN4" s="60" t="s">
        <v>149</v>
      </c>
      <c r="AO4" s="56" t="s">
        <v>150</v>
      </c>
      <c r="AP4" s="60" t="s">
        <v>151</v>
      </c>
      <c r="AQ4" s="60" t="s">
        <v>152</v>
      </c>
      <c r="AR4" s="56" t="s">
        <v>153</v>
      </c>
      <c r="AS4" s="60" t="s">
        <v>155</v>
      </c>
      <c r="AT4" s="60" t="s">
        <v>156</v>
      </c>
      <c r="AU4" s="56" t="s">
        <v>157</v>
      </c>
      <c r="AV4" s="60" t="s">
        <v>151</v>
      </c>
      <c r="AW4" s="60" t="s">
        <v>152</v>
      </c>
      <c r="AX4" s="56" t="s">
        <v>153</v>
      </c>
      <c r="AZ4" s="55" t="s">
        <v>142</v>
      </c>
      <c r="BA4" s="60" t="s">
        <v>144</v>
      </c>
      <c r="BB4" s="60" t="s">
        <v>145</v>
      </c>
      <c r="BC4" s="60" t="s">
        <v>146</v>
      </c>
      <c r="BD4" s="60" t="s">
        <v>147</v>
      </c>
      <c r="BE4" s="60" t="s">
        <v>148</v>
      </c>
      <c r="BF4" s="60" t="s">
        <v>12</v>
      </c>
      <c r="BG4" s="60" t="s">
        <v>149</v>
      </c>
      <c r="BH4" s="56" t="s">
        <v>150</v>
      </c>
    </row>
    <row r="5" spans="1:62">
      <c r="A5" s="26"/>
      <c r="B5" s="31"/>
      <c r="C5" s="39"/>
      <c r="D5" s="40"/>
      <c r="E5" s="40"/>
      <c r="F5" s="40"/>
      <c r="G5" s="34"/>
      <c r="H5" s="35"/>
      <c r="I5" s="35"/>
      <c r="J5" s="35"/>
      <c r="K5" s="34"/>
      <c r="L5" s="35"/>
      <c r="M5" s="35"/>
      <c r="N5" s="35"/>
      <c r="O5" s="34"/>
      <c r="P5" s="35"/>
      <c r="Q5" s="35"/>
      <c r="R5" s="35"/>
      <c r="S5" s="35"/>
      <c r="T5" s="35"/>
      <c r="U5" s="35"/>
      <c r="V5" s="31"/>
      <c r="W5" s="32"/>
      <c r="X5" s="33"/>
      <c r="Y5" s="4"/>
      <c r="Z5" s="22"/>
      <c r="AA5" s="18"/>
      <c r="AB5" s="4"/>
      <c r="AC5" s="31"/>
      <c r="AD5" s="32"/>
      <c r="AE5" s="32"/>
      <c r="AF5" s="32"/>
      <c r="AG5" s="31"/>
      <c r="AH5" s="32"/>
      <c r="AI5" s="32"/>
      <c r="AJ5" s="32"/>
      <c r="AK5" s="32"/>
      <c r="AL5" s="32"/>
      <c r="AM5" s="32"/>
      <c r="AN5" s="32"/>
      <c r="AO5" s="32"/>
      <c r="AP5" s="31"/>
      <c r="AQ5" s="32"/>
      <c r="AR5" s="32"/>
      <c r="AS5" s="34"/>
      <c r="AT5" s="35"/>
      <c r="AU5" s="35"/>
      <c r="AV5" s="31">
        <v>1.1666417613070335</v>
      </c>
      <c r="AW5" s="32"/>
      <c r="AX5" s="33"/>
      <c r="AZ5" s="22"/>
      <c r="BA5" s="4"/>
      <c r="BB5" s="4"/>
      <c r="BC5" s="4"/>
      <c r="BD5" s="4"/>
      <c r="BE5" s="4"/>
      <c r="BF5" s="4"/>
      <c r="BG5" s="4"/>
      <c r="BH5" s="18"/>
    </row>
    <row r="6" spans="1:62">
      <c r="A6" s="17">
        <f>'60years'!A8</f>
        <v>1952</v>
      </c>
      <c r="B6" s="22">
        <f>'60years'!B8</f>
        <v>57482</v>
      </c>
      <c r="C6" s="41">
        <f>'60years'!C8</f>
        <v>20729</v>
      </c>
      <c r="D6" s="42">
        <f>'60years'!D8</f>
        <v>17317</v>
      </c>
      <c r="E6" s="42">
        <f>'60years'!E8</f>
        <v>1531</v>
      </c>
      <c r="F6" s="42">
        <f>'60years'!F8</f>
        <v>1881</v>
      </c>
      <c r="G6" s="36">
        <f>'60years'!G8</f>
        <v>679</v>
      </c>
      <c r="H6" s="5">
        <f>'60years'!H8</f>
        <v>345.9756428144309</v>
      </c>
      <c r="I6" s="5">
        <f>'60years'!I8</f>
        <v>141.80000000000001</v>
      </c>
      <c r="J6" s="5">
        <f>'60years'!J8</f>
        <v>191.22435718556909</v>
      </c>
      <c r="K6" s="36">
        <f>'60years'!K8</f>
        <v>100</v>
      </c>
      <c r="L6" s="5">
        <f>'60years'!L8</f>
        <v>100</v>
      </c>
      <c r="M6" s="5">
        <f>'60years'!M8</f>
        <v>100</v>
      </c>
      <c r="N6" s="5">
        <f>'60years'!N8</f>
        <v>100</v>
      </c>
      <c r="O6" s="36">
        <f>'60years'!O8</f>
        <v>546.29999999999995</v>
      </c>
      <c r="P6" s="5">
        <f>'60years'!P8</f>
        <v>453</v>
      </c>
      <c r="Q6" s="5">
        <f>'60years'!Q8</f>
        <v>93.299999999999955</v>
      </c>
      <c r="R6" s="5">
        <f>'60years'!R8</f>
        <v>153.69999999999999</v>
      </c>
      <c r="S6" s="5">
        <f>'60years'!S8</f>
        <v>80.7</v>
      </c>
      <c r="T6" s="5">
        <f>'60years'!T8</f>
        <v>72.999999999999986</v>
      </c>
      <c r="U6" s="5">
        <f>'60years'!U8</f>
        <v>-7.8</v>
      </c>
      <c r="V6" s="22">
        <f>'60years'!V8</f>
        <v>27.1</v>
      </c>
      <c r="W6" s="4">
        <f>'60years'!W8</f>
        <v>37.5</v>
      </c>
      <c r="X6" s="18">
        <f>'60years'!X8</f>
        <v>-10.4</v>
      </c>
      <c r="Y6" s="4"/>
      <c r="Z6" s="61">
        <f>V6*TradeCSY!B5-Merge60_CSY!W6*TradeCSY!D5</f>
        <v>8.4248188356489546</v>
      </c>
      <c r="AA6" s="62">
        <f t="shared" ref="AA6:AA37" si="0">-V6+W6+Z6</f>
        <v>18.824818835648955</v>
      </c>
      <c r="AB6" s="4"/>
      <c r="AC6" s="63">
        <f t="shared" ref="AC6:AC37" si="1">G6/AG6/10</f>
        <v>0.87804850296424708</v>
      </c>
      <c r="AD6" s="6">
        <f t="shared" ref="AD6:AD37" si="2">H6/AH6/10</f>
        <v>0.57287221572160374</v>
      </c>
      <c r="AE6" s="6">
        <f t="shared" ref="AE6:AE37" si="3">(I6+J6)/AK6/10</f>
        <v>1.9662049358934286</v>
      </c>
      <c r="AF6" s="6">
        <f>AD6/AE6</f>
        <v>0.29135936201955215</v>
      </c>
      <c r="AG6" s="36">
        <f t="shared" ref="AG6:AG37" si="4">G$32/K$32*K6/10</f>
        <v>77.330579997315709</v>
      </c>
      <c r="AH6" s="5">
        <f t="shared" ref="AH6:AH37" si="5">H$32/L$32*L6/10</f>
        <v>60.393161567214712</v>
      </c>
      <c r="AI6" s="5">
        <f>AH6-AJ6</f>
        <v>58.922533632320565</v>
      </c>
      <c r="AJ6" s="5">
        <f t="shared" ref="AJ6:AJ37" si="6">AH6*Z6/H6</f>
        <v>1.4706279348941456</v>
      </c>
      <c r="AK6" s="5">
        <f t="shared" ref="AK6:AK37" si="7">AG6-AH6</f>
        <v>16.937418430100998</v>
      </c>
      <c r="AL6" s="5">
        <f>AK6-AM6+AN6-AO6</f>
        <v>3.4923982085599317</v>
      </c>
      <c r="AM6" s="5">
        <f>S6/G6*AG6</f>
        <v>9.190836238267126</v>
      </c>
      <c r="AN6" s="5">
        <f t="shared" ref="AN6:AN37" si="8">AK6*AA6/(I6+J6)</f>
        <v>0.95741895933625554</v>
      </c>
      <c r="AO6" s="5">
        <f>(AK6+AH6)*Defense!B3</f>
        <v>5.2116029426101953</v>
      </c>
      <c r="AP6" s="41">
        <f t="shared" ref="AP6:AP37" si="9">C6/100</f>
        <v>207.29</v>
      </c>
      <c r="AQ6" s="42">
        <f t="shared" ref="AQ6:AQ37" si="10">D6/100</f>
        <v>173.17</v>
      </c>
      <c r="AR6" s="42">
        <f t="shared" ref="AR6:AR37" si="11">(E6+F6)/100</f>
        <v>34.119999999999997</v>
      </c>
      <c r="AS6" s="36">
        <f>Capital!C5</f>
        <v>52.581381586340264</v>
      </c>
      <c r="AT6" s="5">
        <f>Capital!D5</f>
        <v>22.91460557219942</v>
      </c>
      <c r="AU6" s="5">
        <f>Capital!E5</f>
        <v>29.666776014140844</v>
      </c>
      <c r="AV6" s="41">
        <f t="shared" ref="AV6:AV31" si="12">AP6*$AV$5</f>
        <v>241.83317070133495</v>
      </c>
      <c r="AW6" s="42">
        <f t="shared" ref="AW6:AW31" si="13">AQ6*$AV$5</f>
        <v>202.02735380553898</v>
      </c>
      <c r="AX6" s="64">
        <f t="shared" ref="AX6:AX31" si="14">AR6*$AV$5</f>
        <v>39.805816895795978</v>
      </c>
      <c r="AZ6" s="36">
        <f>AG6</f>
        <v>77.330579997315709</v>
      </c>
      <c r="BA6" s="5">
        <f>AH6</f>
        <v>60.393161567214712</v>
      </c>
      <c r="BB6" s="5">
        <f>AI6</f>
        <v>58.922533632320565</v>
      </c>
      <c r="BC6" s="5">
        <f>AJ6</f>
        <v>1.4706279348941456</v>
      </c>
      <c r="BD6" s="5">
        <f>AK6</f>
        <v>16.937418430100998</v>
      </c>
      <c r="BE6" s="114">
        <f>BE$29/ConsNonAg!Q$28*ConsNonAg!Q5-0.65</f>
        <v>12.604253017976429</v>
      </c>
      <c r="BF6" s="114">
        <f t="shared" ref="BF6:BF33" si="15">BD6-BE6-BH6+BG6</f>
        <v>7.8981428850628643E-2</v>
      </c>
      <c r="BG6" s="5">
        <f>AN6</f>
        <v>0.95741895933625554</v>
      </c>
      <c r="BH6" s="58">
        <f>AO6</f>
        <v>5.2116029426101953</v>
      </c>
      <c r="BJ6" t="s">
        <v>244</v>
      </c>
    </row>
    <row r="7" spans="1:62">
      <c r="A7" s="17">
        <f>'60years'!A9</f>
        <v>1953</v>
      </c>
      <c r="B7" s="22">
        <f>'60years'!B9</f>
        <v>58796</v>
      </c>
      <c r="C7" s="41">
        <f>'60years'!C9</f>
        <v>21364</v>
      </c>
      <c r="D7" s="42">
        <f>'60years'!D9</f>
        <v>17747</v>
      </c>
      <c r="E7" s="42">
        <f>'60years'!E9</f>
        <v>1715</v>
      </c>
      <c r="F7" s="42">
        <f>'60years'!F9</f>
        <v>1902</v>
      </c>
      <c r="G7" s="36">
        <f>'60years'!G9</f>
        <v>824.18965698666841</v>
      </c>
      <c r="H7" s="5">
        <f>'60years'!H9</f>
        <v>381.39047239386088</v>
      </c>
      <c r="I7" s="5">
        <f>'60years'!I9</f>
        <v>192.5</v>
      </c>
      <c r="J7" s="5">
        <f>'60years'!J9</f>
        <v>250.29918459280753</v>
      </c>
      <c r="K7" s="36">
        <f>'60years'!K9</f>
        <v>115.61604584527223</v>
      </c>
      <c r="L7" s="5">
        <f>'60years'!L9</f>
        <v>101.880621422731</v>
      </c>
      <c r="M7" s="5">
        <f>'60years'!M9</f>
        <v>135.81871345029239</v>
      </c>
      <c r="N7" s="5">
        <f>'60years'!N9</f>
        <v>124.85476488038839</v>
      </c>
      <c r="O7" s="36">
        <f>'60years'!O9</f>
        <v>644.4</v>
      </c>
      <c r="P7" s="5">
        <f>'60years'!P9</f>
        <v>529.20000000000005</v>
      </c>
      <c r="Q7" s="5">
        <f>'60years'!Q9</f>
        <v>115.19999999999993</v>
      </c>
      <c r="R7" s="5">
        <f>'60years'!R9</f>
        <v>198.3</v>
      </c>
      <c r="S7" s="5">
        <f>'60years'!S9</f>
        <v>115.3</v>
      </c>
      <c r="T7" s="5">
        <f>'60years'!T9</f>
        <v>83.000000000000014</v>
      </c>
      <c r="U7" s="5">
        <f>'60years'!U9</f>
        <v>-8.4</v>
      </c>
      <c r="V7" s="22">
        <f>'60years'!V9</f>
        <v>34.799999999999997</v>
      </c>
      <c r="W7" s="4">
        <f>'60years'!W9</f>
        <v>46.1</v>
      </c>
      <c r="X7" s="18">
        <f>'60years'!X9</f>
        <v>-11.3</v>
      </c>
      <c r="Y7" s="4"/>
      <c r="Z7" s="61">
        <f>V7*TradeCSY!B6-Merge60_CSY!W7*TradeCSY!D6</f>
        <v>10.313134624052228</v>
      </c>
      <c r="AA7" s="62">
        <f t="shared" si="0"/>
        <v>21.613134624052233</v>
      </c>
      <c r="AB7" s="4"/>
      <c r="AC7" s="63">
        <f t="shared" si="1"/>
        <v>0.9218447369465641</v>
      </c>
      <c r="AD7" s="6">
        <f t="shared" si="2"/>
        <v>0.6198555426236585</v>
      </c>
      <c r="AE7" s="6">
        <f t="shared" si="3"/>
        <v>1.5883673623754264</v>
      </c>
      <c r="AF7" s="6">
        <f t="shared" ref="AF7:AF62" si="16">AD7/AE7</f>
        <v>0.3902469650954396</v>
      </c>
      <c r="AG7" s="36">
        <f t="shared" si="4"/>
        <v>89.40655882211145</v>
      </c>
      <c r="AH7" s="5">
        <f t="shared" si="5"/>
        <v>61.528928301512302</v>
      </c>
      <c r="AI7" s="5">
        <f t="shared" ref="AI7:AI66" si="17">AH7-AJ7</f>
        <v>59.86513183364498</v>
      </c>
      <c r="AJ7" s="5">
        <f t="shared" si="6"/>
        <v>1.6637964678673181</v>
      </c>
      <c r="AK7" s="5">
        <f t="shared" si="7"/>
        <v>27.877630520599148</v>
      </c>
      <c r="AL7" s="5">
        <f t="shared" ref="AL7:AL66" si="18">AK7-AM7+AN7-AO7</f>
        <v>10.558194023502718</v>
      </c>
      <c r="AM7" s="5">
        <f t="shared" ref="AM7:AM37" si="19">S7/G7*AG7</f>
        <v>12.507529237722764</v>
      </c>
      <c r="AN7" s="5">
        <f t="shared" si="8"/>
        <v>1.3607138459285311</v>
      </c>
      <c r="AO7" s="5">
        <f>(AK7+AH7)*Defense!B4</f>
        <v>6.172621105302194</v>
      </c>
      <c r="AP7" s="41">
        <f t="shared" si="9"/>
        <v>213.64</v>
      </c>
      <c r="AQ7" s="42">
        <f t="shared" si="10"/>
        <v>177.47</v>
      </c>
      <c r="AR7" s="42">
        <f t="shared" si="11"/>
        <v>36.17</v>
      </c>
      <c r="AS7" s="36">
        <f>Capital!C6</f>
        <v>50.031293935873883</v>
      </c>
      <c r="AT7" s="5">
        <f>Capital!D6</f>
        <v>19.647187934022465</v>
      </c>
      <c r="AU7" s="5">
        <f>Capital!E6</f>
        <v>30.384106001851418</v>
      </c>
      <c r="AV7" s="41">
        <f t="shared" si="12"/>
        <v>249.24134588563462</v>
      </c>
      <c r="AW7" s="42">
        <f t="shared" si="13"/>
        <v>207.04391337915922</v>
      </c>
      <c r="AX7" s="64">
        <f t="shared" si="14"/>
        <v>42.197432506475401</v>
      </c>
      <c r="AZ7" s="36">
        <f t="shared" ref="AZ7:AZ66" si="20">AG7</f>
        <v>89.40655882211145</v>
      </c>
      <c r="BA7" s="5">
        <f t="shared" ref="BA7:BA66" si="21">AH7</f>
        <v>61.528928301512302</v>
      </c>
      <c r="BB7" s="5">
        <f t="shared" ref="BB7:BB66" si="22">AI7</f>
        <v>59.86513183364498</v>
      </c>
      <c r="BC7" s="5">
        <f t="shared" ref="BC7:BC66" si="23">AJ7</f>
        <v>1.6637964678673181</v>
      </c>
      <c r="BD7" s="5">
        <f t="shared" ref="BD7:BD66" si="24">AK7</f>
        <v>27.877630520599148</v>
      </c>
      <c r="BE7" s="5">
        <f>BE$29/ConsNonAg!Q$28*ConsNonAg!Q6</f>
        <v>21.232779204699568</v>
      </c>
      <c r="BF7" s="5">
        <f t="shared" si="15"/>
        <v>1.8329440565259165</v>
      </c>
      <c r="BG7" s="5">
        <f t="shared" ref="BG7:BG66" si="25">AN7</f>
        <v>1.3607138459285311</v>
      </c>
      <c r="BH7" s="58">
        <f t="shared" ref="BH7:BH66" si="26">AO7</f>
        <v>6.172621105302194</v>
      </c>
    </row>
    <row r="8" spans="1:62">
      <c r="A8" s="17">
        <f>'60years'!A10</f>
        <v>1954</v>
      </c>
      <c r="B8" s="22">
        <f>'60years'!B10</f>
        <v>60266</v>
      </c>
      <c r="C8" s="41">
        <f>'60years'!C10</f>
        <v>21832</v>
      </c>
      <c r="D8" s="42">
        <f>'60years'!D10</f>
        <v>18151</v>
      </c>
      <c r="E8" s="42">
        <f>'60years'!E10</f>
        <v>1882</v>
      </c>
      <c r="F8" s="42">
        <f>'60years'!F10</f>
        <v>1799</v>
      </c>
      <c r="G8" s="36">
        <f>'60years'!G10</f>
        <v>859.38423242809131</v>
      </c>
      <c r="H8" s="5">
        <f>'60years'!H10</f>
        <v>395.51604544548536</v>
      </c>
      <c r="I8" s="5">
        <f>'60years'!I10</f>
        <v>211.7</v>
      </c>
      <c r="J8" s="5">
        <f>'60years'!J10</f>
        <v>252.16818698260596</v>
      </c>
      <c r="K8" s="36">
        <f>'60years'!K10</f>
        <v>120.487106017192</v>
      </c>
      <c r="L8" s="5">
        <f>'60years'!L10</f>
        <v>103.59771054783319</v>
      </c>
      <c r="M8" s="5">
        <f>'60years'!M10</f>
        <v>157.09064327485379</v>
      </c>
      <c r="N8" s="5">
        <f>'60years'!N10</f>
        <v>124.37121824473894</v>
      </c>
      <c r="O8" s="36">
        <f>'60years'!O10</f>
        <v>654.1</v>
      </c>
      <c r="P8" s="5">
        <f>'60years'!P10</f>
        <v>550</v>
      </c>
      <c r="Q8" s="5">
        <f>'60years'!Q10</f>
        <v>104.10000000000002</v>
      </c>
      <c r="R8" s="5">
        <f>'60years'!R10</f>
        <v>226.9</v>
      </c>
      <c r="S8" s="5">
        <f>'60years'!S10</f>
        <v>140.9</v>
      </c>
      <c r="T8" s="5">
        <f>'60years'!T10</f>
        <v>86</v>
      </c>
      <c r="U8" s="5">
        <f>'60years'!U10</f>
        <v>-2.7</v>
      </c>
      <c r="V8" s="22">
        <f>'60years'!V10</f>
        <v>40</v>
      </c>
      <c r="W8" s="4">
        <f>'60years'!W10</f>
        <v>44.7</v>
      </c>
      <c r="X8" s="18">
        <f>'60years'!X10</f>
        <v>-4.7</v>
      </c>
      <c r="Y8" s="4"/>
      <c r="Z8" s="61">
        <f>V8*TradeCSY!B7-Merge60_CSY!W8*TradeCSY!D7</f>
        <v>12.352464480491786</v>
      </c>
      <c r="AA8" s="62">
        <f t="shared" si="0"/>
        <v>17.052464480491789</v>
      </c>
      <c r="AB8" s="4"/>
      <c r="AC8" s="63">
        <f t="shared" si="1"/>
        <v>0.9223495506448518</v>
      </c>
      <c r="AD8" s="6">
        <f t="shared" si="2"/>
        <v>0.63215879362314609</v>
      </c>
      <c r="AE8" s="6">
        <f t="shared" si="3"/>
        <v>1.5155403662169642</v>
      </c>
      <c r="AF8" s="6">
        <f t="shared" si="16"/>
        <v>0.41711775398046141</v>
      </c>
      <c r="AG8" s="36">
        <f t="shared" si="4"/>
        <v>93.173377905075256</v>
      </c>
      <c r="AH8" s="5">
        <f t="shared" si="5"/>
        <v>62.565932711088337</v>
      </c>
      <c r="AI8" s="5">
        <f t="shared" si="17"/>
        <v>60.6119197945401</v>
      </c>
      <c r="AJ8" s="5">
        <f t="shared" si="6"/>
        <v>1.9540129165482367</v>
      </c>
      <c r="AK8" s="5">
        <f t="shared" si="7"/>
        <v>30.607445193986919</v>
      </c>
      <c r="AL8" s="5">
        <f t="shared" si="18"/>
        <v>10.93475457992991</v>
      </c>
      <c r="AM8" s="5">
        <f t="shared" si="19"/>
        <v>15.276204113884059</v>
      </c>
      <c r="AN8" s="5">
        <f t="shared" si="8"/>
        <v>1.1251738891691496</v>
      </c>
      <c r="AO8" s="5">
        <f>(AK8+AH8)*Defense!B5</f>
        <v>5.5216603893421006</v>
      </c>
      <c r="AP8" s="41">
        <f t="shared" si="9"/>
        <v>218.32</v>
      </c>
      <c r="AQ8" s="42">
        <f t="shared" si="10"/>
        <v>181.51</v>
      </c>
      <c r="AR8" s="42">
        <f t="shared" si="11"/>
        <v>36.81</v>
      </c>
      <c r="AS8" s="36">
        <f>Capital!C7</f>
        <v>49.362673295606108</v>
      </c>
      <c r="AT8" s="5">
        <f>Capital!D7</f>
        <v>17.347368578517774</v>
      </c>
      <c r="AU8" s="5">
        <f>Capital!E7</f>
        <v>32.015304717088334</v>
      </c>
      <c r="AV8" s="41">
        <f t="shared" si="12"/>
        <v>254.70122932855153</v>
      </c>
      <c r="AW8" s="42">
        <f t="shared" si="13"/>
        <v>211.75714609483964</v>
      </c>
      <c r="AX8" s="64">
        <f t="shared" si="14"/>
        <v>42.944083233711908</v>
      </c>
      <c r="AZ8" s="36">
        <f t="shared" si="20"/>
        <v>93.173377905075256</v>
      </c>
      <c r="BA8" s="5">
        <f t="shared" si="21"/>
        <v>62.565932711088337</v>
      </c>
      <c r="BB8" s="5">
        <f t="shared" si="22"/>
        <v>60.6119197945401</v>
      </c>
      <c r="BC8" s="5">
        <f t="shared" si="23"/>
        <v>1.9540129165482367</v>
      </c>
      <c r="BD8" s="5">
        <f t="shared" si="24"/>
        <v>30.607445193986919</v>
      </c>
      <c r="BE8" s="5">
        <f>BE$29/ConsNonAg!Q$28*ConsNonAg!Q7</f>
        <v>22.632402244467006</v>
      </c>
      <c r="BF8" s="5">
        <f t="shared" si="15"/>
        <v>3.5785564493469626</v>
      </c>
      <c r="BG8" s="5">
        <f t="shared" si="25"/>
        <v>1.1251738891691496</v>
      </c>
      <c r="BH8" s="58">
        <f t="shared" si="26"/>
        <v>5.5216603893421006</v>
      </c>
    </row>
    <row r="9" spans="1:62">
      <c r="A9" s="17">
        <f>'60years'!A11</f>
        <v>1955</v>
      </c>
      <c r="B9" s="22">
        <f>'60years'!B11</f>
        <v>61465</v>
      </c>
      <c r="C9" s="41">
        <f>'60years'!C11</f>
        <v>22328</v>
      </c>
      <c r="D9" s="42">
        <f>'60years'!D11</f>
        <v>18592</v>
      </c>
      <c r="E9" s="42">
        <f>'60years'!E11</f>
        <v>1913</v>
      </c>
      <c r="F9" s="42">
        <f>'60years'!F11</f>
        <v>1823</v>
      </c>
      <c r="G9" s="36">
        <f>'60years'!G11</f>
        <v>910.7844182365443</v>
      </c>
      <c r="H9" s="5">
        <f>'60years'!H11</f>
        <v>424.77616105242174</v>
      </c>
      <c r="I9" s="5">
        <f>'60years'!I11</f>
        <v>222.2</v>
      </c>
      <c r="J9" s="5">
        <f>'60years'!J11</f>
        <v>263.80825718412257</v>
      </c>
      <c r="K9" s="36">
        <f>'60years'!K11</f>
        <v>128.73925501432669</v>
      </c>
      <c r="L9" s="5">
        <f>'60years'!L11</f>
        <v>111.80158081221042</v>
      </c>
      <c r="M9" s="5">
        <f>'60years'!M11</f>
        <v>169.00584795321637</v>
      </c>
      <c r="N9" s="5">
        <f>'60years'!N11</f>
        <v>130.37267982932264</v>
      </c>
      <c r="O9" s="36">
        <f>'60years'!O11</f>
        <v>722.3</v>
      </c>
      <c r="P9" s="5">
        <f>'60years'!P11</f>
        <v>602.6</v>
      </c>
      <c r="Q9" s="5">
        <f>'60years'!Q11</f>
        <v>119.69999999999993</v>
      </c>
      <c r="R9" s="5">
        <f>'60years'!R11</f>
        <v>221.5</v>
      </c>
      <c r="S9" s="5">
        <f>'60years'!S11</f>
        <v>145.5</v>
      </c>
      <c r="T9" s="5">
        <f>'60years'!T11</f>
        <v>76</v>
      </c>
      <c r="U9" s="5">
        <f>'60years'!U11</f>
        <v>-8.9</v>
      </c>
      <c r="V9" s="22">
        <f>'60years'!V11</f>
        <v>48.7</v>
      </c>
      <c r="W9" s="4">
        <f>'60years'!W11</f>
        <v>61.1</v>
      </c>
      <c r="X9" s="18">
        <f>'60years'!X11</f>
        <v>-12.4</v>
      </c>
      <c r="Y9" s="4"/>
      <c r="Z9" s="61">
        <f>V9*TradeCSY!B8-Merge60_CSY!W9*TradeCSY!D8</f>
        <v>14.817806109213693</v>
      </c>
      <c r="AA9" s="62">
        <f t="shared" si="0"/>
        <v>27.21780610921369</v>
      </c>
      <c r="AB9" s="4"/>
      <c r="AC9" s="63">
        <f t="shared" si="1"/>
        <v>0.91485724755137121</v>
      </c>
      <c r="AD9" s="6">
        <f t="shared" si="2"/>
        <v>0.62910686728874432</v>
      </c>
      <c r="AE9" s="6">
        <f t="shared" si="3"/>
        <v>1.5171494549393423</v>
      </c>
      <c r="AF9" s="6">
        <f t="shared" si="16"/>
        <v>0.41466374010851614</v>
      </c>
      <c r="AG9" s="36">
        <f t="shared" si="4"/>
        <v>99.554812586802171</v>
      </c>
      <c r="AH9" s="5">
        <f t="shared" si="5"/>
        <v>67.520509334618367</v>
      </c>
      <c r="AI9" s="5">
        <f t="shared" si="17"/>
        <v>65.165137476562862</v>
      </c>
      <c r="AJ9" s="5">
        <f t="shared" si="6"/>
        <v>2.3553718580555079</v>
      </c>
      <c r="AK9" s="5">
        <f t="shared" si="7"/>
        <v>32.034303252183804</v>
      </c>
      <c r="AL9" s="5">
        <f t="shared" si="18"/>
        <v>9.7606975666018219</v>
      </c>
      <c r="AM9" s="5">
        <f t="shared" si="19"/>
        <v>15.904120603452933</v>
      </c>
      <c r="AN9" s="5">
        <f t="shared" si="8"/>
        <v>1.7940095499887252</v>
      </c>
      <c r="AO9" s="5">
        <f>(AK9+AH9)*Defense!B6</f>
        <v>8.1634946321177768</v>
      </c>
      <c r="AP9" s="41">
        <f t="shared" si="9"/>
        <v>223.28</v>
      </c>
      <c r="AQ9" s="42">
        <f t="shared" si="10"/>
        <v>185.92</v>
      </c>
      <c r="AR9" s="42">
        <f t="shared" si="11"/>
        <v>37.36</v>
      </c>
      <c r="AS9" s="36">
        <f>Capital!C8</f>
        <v>50.473096080172759</v>
      </c>
      <c r="AT9" s="5">
        <f>Capital!D8</f>
        <v>16.174565428528016</v>
      </c>
      <c r="AU9" s="5">
        <f>Capital!E8</f>
        <v>34.298530651644739</v>
      </c>
      <c r="AV9" s="41">
        <f t="shared" si="12"/>
        <v>260.48777246463442</v>
      </c>
      <c r="AW9" s="42">
        <f t="shared" si="13"/>
        <v>216.90203626220364</v>
      </c>
      <c r="AX9" s="64">
        <f t="shared" si="14"/>
        <v>43.585736202430766</v>
      </c>
      <c r="AZ9" s="36">
        <f t="shared" si="20"/>
        <v>99.554812586802171</v>
      </c>
      <c r="BA9" s="5">
        <f t="shared" si="21"/>
        <v>67.520509334618367</v>
      </c>
      <c r="BB9" s="5">
        <f t="shared" si="22"/>
        <v>65.165137476562862</v>
      </c>
      <c r="BC9" s="5">
        <f t="shared" si="23"/>
        <v>2.3553718580555079</v>
      </c>
      <c r="BD9" s="5">
        <f t="shared" si="24"/>
        <v>32.034303252183804</v>
      </c>
      <c r="BE9" s="5">
        <f>BE$29/ConsNonAg!Q$28*ConsNonAg!Q8</f>
        <v>23.492525627034663</v>
      </c>
      <c r="BF9" s="5">
        <f t="shared" si="15"/>
        <v>2.1722925430200895</v>
      </c>
      <c r="BG9" s="5">
        <f t="shared" si="25"/>
        <v>1.7940095499887252</v>
      </c>
      <c r="BH9" s="58">
        <f t="shared" si="26"/>
        <v>8.1634946321177768</v>
      </c>
    </row>
    <row r="10" spans="1:62">
      <c r="A10" s="17">
        <f>'60years'!A12</f>
        <v>1956</v>
      </c>
      <c r="B10" s="22">
        <f>'60years'!B12</f>
        <v>62828</v>
      </c>
      <c r="C10" s="41">
        <f>'60years'!C12</f>
        <v>23018</v>
      </c>
      <c r="D10" s="42">
        <f>'60years'!D12</f>
        <v>18544</v>
      </c>
      <c r="E10" s="42">
        <f>'60years'!E12</f>
        <v>2468</v>
      </c>
      <c r="F10" s="42">
        <f>'60years'!F12</f>
        <v>2006</v>
      </c>
      <c r="G10" s="36">
        <f>'60years'!G12</f>
        <v>1028.9812891238751</v>
      </c>
      <c r="H10" s="5">
        <f>'60years'!H12</f>
        <v>447.88156268686464</v>
      </c>
      <c r="I10" s="5">
        <f>'60years'!I12</f>
        <v>280.7</v>
      </c>
      <c r="J10" s="5">
        <f>'60years'!J12</f>
        <v>300.39972643701043</v>
      </c>
      <c r="K10" s="36">
        <f>'60years'!K12</f>
        <v>148.08022922636107</v>
      </c>
      <c r="L10" s="5">
        <f>'60years'!L12</f>
        <v>117.00735895339329</v>
      </c>
      <c r="M10" s="5">
        <f>'60years'!M12</f>
        <v>227.26608187134502</v>
      </c>
      <c r="N10" s="5">
        <f>'60years'!N12</f>
        <v>147.69844913358304</v>
      </c>
      <c r="O10" s="36">
        <f>'60years'!O12</f>
        <v>772.6</v>
      </c>
      <c r="P10" s="5">
        <f>'60years'!P12</f>
        <v>646.79999999999995</v>
      </c>
      <c r="Q10" s="5">
        <f>'60years'!Q12</f>
        <v>125.80000000000007</v>
      </c>
      <c r="R10" s="5">
        <f>'60years'!R12</f>
        <v>257.60000000000002</v>
      </c>
      <c r="S10" s="5">
        <f>'60years'!S12</f>
        <v>219.6</v>
      </c>
      <c r="T10" s="5">
        <f>'60years'!T12</f>
        <v>38.000000000000028</v>
      </c>
      <c r="U10" s="5">
        <f>'60years'!U12</f>
        <v>4</v>
      </c>
      <c r="V10" s="22">
        <f>'60years'!V12</f>
        <v>55.7</v>
      </c>
      <c r="W10" s="4">
        <f>'60years'!W12</f>
        <v>53</v>
      </c>
      <c r="X10" s="18">
        <f>'60years'!X12</f>
        <v>2.7</v>
      </c>
      <c r="Y10" s="4"/>
      <c r="Z10" s="61">
        <f>V10*TradeCSY!B9-Merge60_CSY!W10*TradeCSY!D9</f>
        <v>17.274424935236329</v>
      </c>
      <c r="AA10" s="62">
        <f t="shared" si="0"/>
        <v>14.574424935236326</v>
      </c>
      <c r="AB10" s="4"/>
      <c r="AC10" s="63">
        <f t="shared" si="1"/>
        <v>0.8985849326893558</v>
      </c>
      <c r="AD10" s="6">
        <f t="shared" si="2"/>
        <v>0.63381460537793166</v>
      </c>
      <c r="AE10" s="6">
        <f t="shared" si="3"/>
        <v>1.3252939185622516</v>
      </c>
      <c r="AF10" s="6">
        <f t="shared" si="16"/>
        <v>0.47824455881117073</v>
      </c>
      <c r="AG10" s="36">
        <f t="shared" si="4"/>
        <v>114.51130012209963</v>
      </c>
      <c r="AH10" s="5">
        <f t="shared" si="5"/>
        <v>70.664443338253676</v>
      </c>
      <c r="AI10" s="5">
        <f t="shared" si="17"/>
        <v>67.93897365221892</v>
      </c>
      <c r="AJ10" s="5">
        <f t="shared" si="6"/>
        <v>2.7254696860347543</v>
      </c>
      <c r="AK10" s="5">
        <f t="shared" si="7"/>
        <v>43.846856783845951</v>
      </c>
      <c r="AL10" s="5">
        <f t="shared" si="18"/>
        <v>12.606865268429313</v>
      </c>
      <c r="AM10" s="5">
        <f t="shared" si="19"/>
        <v>24.438424461754977</v>
      </c>
      <c r="AN10" s="5">
        <f t="shared" si="8"/>
        <v>1.0997126547632112</v>
      </c>
      <c r="AO10" s="5">
        <f>(AK10+AH10)*Defense!B7</f>
        <v>7.9012797084248731</v>
      </c>
      <c r="AP10" s="41">
        <f t="shared" si="9"/>
        <v>230.18</v>
      </c>
      <c r="AQ10" s="42">
        <f t="shared" si="10"/>
        <v>185.44</v>
      </c>
      <c r="AR10" s="42">
        <f t="shared" si="11"/>
        <v>44.74</v>
      </c>
      <c r="AS10" s="36">
        <f>Capital!C9</f>
        <v>50.121733819184207</v>
      </c>
      <c r="AT10" s="5">
        <f>Capital!D9</f>
        <v>14.955166459655214</v>
      </c>
      <c r="AU10" s="5">
        <f>Capital!E9</f>
        <v>35.166567359528997</v>
      </c>
      <c r="AV10" s="41">
        <f t="shared" si="12"/>
        <v>268.53760061765297</v>
      </c>
      <c r="AW10" s="42">
        <f t="shared" si="13"/>
        <v>216.34204821677628</v>
      </c>
      <c r="AX10" s="64">
        <f t="shared" si="14"/>
        <v>52.195552400876679</v>
      </c>
      <c r="AZ10" s="36">
        <f t="shared" si="20"/>
        <v>114.51130012209963</v>
      </c>
      <c r="BA10" s="5">
        <f t="shared" si="21"/>
        <v>70.664443338253676</v>
      </c>
      <c r="BB10" s="5">
        <f t="shared" si="22"/>
        <v>67.93897365221892</v>
      </c>
      <c r="BC10" s="5">
        <f t="shared" si="23"/>
        <v>2.7254696860347543</v>
      </c>
      <c r="BD10" s="5">
        <f t="shared" si="24"/>
        <v>43.846856783845951</v>
      </c>
      <c r="BE10" s="5">
        <f>BE$29/ConsNonAg!Q$28*ConsNonAg!Q9</f>
        <v>31.231056535680548</v>
      </c>
      <c r="BF10" s="5">
        <f t="shared" si="15"/>
        <v>5.8142331945037409</v>
      </c>
      <c r="BG10" s="5">
        <f t="shared" si="25"/>
        <v>1.0997126547632112</v>
      </c>
      <c r="BH10" s="58">
        <f t="shared" si="26"/>
        <v>7.9012797084248731</v>
      </c>
    </row>
    <row r="11" spans="1:62">
      <c r="A11" s="17">
        <f>'60years'!A13</f>
        <v>1957</v>
      </c>
      <c r="B11" s="22">
        <f>'60years'!B13</f>
        <v>64653</v>
      </c>
      <c r="C11" s="41">
        <f>'60years'!C13</f>
        <v>23771</v>
      </c>
      <c r="D11" s="42">
        <f>'60years'!D13</f>
        <v>19309</v>
      </c>
      <c r="E11" s="42">
        <f>'60years'!E13</f>
        <v>2142</v>
      </c>
      <c r="F11" s="42">
        <f>'60years'!F13</f>
        <v>2320</v>
      </c>
      <c r="G11" s="36">
        <f>'60years'!G13</f>
        <v>1069.2900641389178</v>
      </c>
      <c r="H11" s="5">
        <f>'60years'!H13</f>
        <v>433.85688658560895</v>
      </c>
      <c r="I11" s="5">
        <f>'60years'!I13</f>
        <v>317</v>
      </c>
      <c r="J11" s="5">
        <f>'60years'!J13</f>
        <v>318.43317755330895</v>
      </c>
      <c r="K11" s="36">
        <f>'60years'!K13</f>
        <v>155.57306590257892</v>
      </c>
      <c r="L11" s="5">
        <f>'60years'!L13</f>
        <v>120.6050695012265</v>
      </c>
      <c r="M11" s="5">
        <f>'60years'!M13</f>
        <v>245.54093567251465</v>
      </c>
      <c r="N11" s="5">
        <f>'60years'!N13</f>
        <v>154.59952575881164</v>
      </c>
      <c r="O11" s="36">
        <f>'60years'!O13</f>
        <v>816.4</v>
      </c>
      <c r="P11" s="5">
        <f>'60years'!P13</f>
        <v>686.6</v>
      </c>
      <c r="Q11" s="5">
        <f>'60years'!Q13</f>
        <v>129.79999999999995</v>
      </c>
      <c r="R11" s="5">
        <f>'60years'!R13</f>
        <v>280</v>
      </c>
      <c r="S11" s="5">
        <f>'60years'!S13</f>
        <v>187</v>
      </c>
      <c r="T11" s="5">
        <f>'60years'!T13</f>
        <v>93</v>
      </c>
      <c r="U11" s="5">
        <f>'60years'!U13</f>
        <v>5.5</v>
      </c>
      <c r="V11" s="22">
        <f>'60years'!V13</f>
        <v>54.5</v>
      </c>
      <c r="W11" s="4">
        <f>'60years'!W13</f>
        <v>50</v>
      </c>
      <c r="X11" s="18">
        <f>'60years'!X13</f>
        <v>4.5</v>
      </c>
      <c r="Y11" s="4"/>
      <c r="Z11" s="61">
        <f>V11*TradeCSY!B10-Merge60_CSY!W11*TradeCSY!D10</f>
        <v>14.512342021813607</v>
      </c>
      <c r="AA11" s="62">
        <f t="shared" si="0"/>
        <v>10.012342021813607</v>
      </c>
      <c r="AB11" s="4"/>
      <c r="AC11" s="63">
        <f t="shared" si="1"/>
        <v>0.88881188521076404</v>
      </c>
      <c r="AD11" s="6">
        <f t="shared" si="2"/>
        <v>0.5956527712795332</v>
      </c>
      <c r="AE11" s="6">
        <f t="shared" si="3"/>
        <v>1.3386463094559633</v>
      </c>
      <c r="AF11" s="6">
        <f t="shared" si="16"/>
        <v>0.44496650614276995</v>
      </c>
      <c r="AG11" s="36">
        <f t="shared" si="4"/>
        <v>120.30555418207048</v>
      </c>
      <c r="AH11" s="5">
        <f t="shared" si="5"/>
        <v>72.837214482127322</v>
      </c>
      <c r="AI11" s="5">
        <f t="shared" si="17"/>
        <v>70.400838337911736</v>
      </c>
      <c r="AJ11" s="5">
        <f t="shared" si="6"/>
        <v>2.4363761442155916</v>
      </c>
      <c r="AK11" s="5">
        <f t="shared" si="7"/>
        <v>47.468339699943158</v>
      </c>
      <c r="AL11" s="5">
        <f t="shared" si="18"/>
        <v>19.838323566492406</v>
      </c>
      <c r="AM11" s="5">
        <f t="shared" si="19"/>
        <v>21.039322618380229</v>
      </c>
      <c r="AN11" s="5">
        <f t="shared" si="8"/>
        <v>0.74794529003577526</v>
      </c>
      <c r="AO11" s="5">
        <f>(AK11+AH11)*Defense!B8</f>
        <v>7.3386388051062994</v>
      </c>
      <c r="AP11" s="41">
        <f t="shared" si="9"/>
        <v>237.71</v>
      </c>
      <c r="AQ11" s="42">
        <f t="shared" si="10"/>
        <v>193.09</v>
      </c>
      <c r="AR11" s="42">
        <f t="shared" si="11"/>
        <v>44.62</v>
      </c>
      <c r="AS11" s="36">
        <f>Capital!C10</f>
        <v>53.429880322728735</v>
      </c>
      <c r="AT11" s="5">
        <f>Capital!D10</f>
        <v>14.633716415053366</v>
      </c>
      <c r="AU11" s="5">
        <f>Capital!E10</f>
        <v>38.796163907675371</v>
      </c>
      <c r="AV11" s="41">
        <f t="shared" si="12"/>
        <v>277.32241308029495</v>
      </c>
      <c r="AW11" s="42">
        <f t="shared" si="13"/>
        <v>225.26685769077508</v>
      </c>
      <c r="AX11" s="64">
        <f t="shared" si="14"/>
        <v>52.055555389519832</v>
      </c>
      <c r="AZ11" s="36">
        <f t="shared" si="20"/>
        <v>120.30555418207048</v>
      </c>
      <c r="BA11" s="5">
        <f t="shared" si="21"/>
        <v>72.837214482127322</v>
      </c>
      <c r="BB11" s="5">
        <f t="shared" si="22"/>
        <v>70.400838337911736</v>
      </c>
      <c r="BC11" s="5">
        <f t="shared" si="23"/>
        <v>2.4363761442155916</v>
      </c>
      <c r="BD11" s="5">
        <f t="shared" si="24"/>
        <v>47.468339699943158</v>
      </c>
      <c r="BE11" s="5">
        <f>BE$29/ConsNonAg!Q$28*ConsNonAg!Q10</f>
        <v>33.925607360941406</v>
      </c>
      <c r="BF11" s="5">
        <f t="shared" si="15"/>
        <v>6.9520388239312281</v>
      </c>
      <c r="BG11" s="5">
        <f t="shared" si="25"/>
        <v>0.74794529003577526</v>
      </c>
      <c r="BH11" s="58">
        <f t="shared" si="26"/>
        <v>7.3386388051062994</v>
      </c>
    </row>
    <row r="12" spans="1:62">
      <c r="A12" s="17">
        <f>'60years'!A14</f>
        <v>1958</v>
      </c>
      <c r="B12" s="22">
        <f>'60years'!B14</f>
        <v>65994</v>
      </c>
      <c r="C12" s="41">
        <f>'60years'!C14</f>
        <v>26600</v>
      </c>
      <c r="D12" s="42">
        <f>'60years'!D14</f>
        <v>15490</v>
      </c>
      <c r="E12" s="42">
        <f>'60years'!E14</f>
        <v>7076</v>
      </c>
      <c r="F12" s="42">
        <f>'60years'!F14</f>
        <v>4034</v>
      </c>
      <c r="G12" s="36">
        <f>'60years'!G14</f>
        <v>1308.2090596785342</v>
      </c>
      <c r="H12" s="5">
        <f>'60years'!H14</f>
        <v>449.89950169423958</v>
      </c>
      <c r="I12" s="5">
        <f>'60years'!I14</f>
        <v>483.5</v>
      </c>
      <c r="J12" s="5">
        <f>'60years'!J14</f>
        <v>374.80955798429466</v>
      </c>
      <c r="K12" s="36">
        <f>'60years'!K14</f>
        <v>188.63962579011204</v>
      </c>
      <c r="L12" s="5">
        <f>'60years'!L14</f>
        <v>121.13809958276252</v>
      </c>
      <c r="M12" s="5">
        <f>'60years'!M14</f>
        <v>375.43751268286388</v>
      </c>
      <c r="N12" s="5">
        <f>'60years'!N14</f>
        <v>182.57209955663077</v>
      </c>
      <c r="O12" s="36">
        <f>'60years'!O14</f>
        <v>852.6</v>
      </c>
      <c r="P12" s="5">
        <f>'60years'!P14</f>
        <v>724</v>
      </c>
      <c r="Q12" s="5">
        <f>'60years'!Q14</f>
        <v>128.60000000000002</v>
      </c>
      <c r="R12" s="5">
        <f>'60years'!R14</f>
        <v>432</v>
      </c>
      <c r="S12" s="5">
        <f>'60years'!S14</f>
        <v>333</v>
      </c>
      <c r="T12" s="5">
        <f>'60years'!T14</f>
        <v>99</v>
      </c>
      <c r="U12" s="5">
        <f>'60years'!U14</f>
        <v>6.6</v>
      </c>
      <c r="V12" s="22">
        <f>'60years'!V14</f>
        <v>67</v>
      </c>
      <c r="W12" s="4">
        <f>'60years'!W14</f>
        <v>61.7</v>
      </c>
      <c r="X12" s="18">
        <f>'60years'!X14</f>
        <v>5.3</v>
      </c>
      <c r="Y12" s="4"/>
      <c r="Z12" s="61">
        <f>V12*TradeCSY!B11-Merge60_CSY!W12*TradeCSY!D11</f>
        <v>20.67258850713365</v>
      </c>
      <c r="AA12" s="62">
        <f t="shared" si="0"/>
        <v>15.372588507133653</v>
      </c>
      <c r="AB12" s="4"/>
      <c r="AC12" s="63">
        <f t="shared" si="1"/>
        <v>0.89679454664637637</v>
      </c>
      <c r="AD12" s="6">
        <f t="shared" si="2"/>
        <v>0.61496017347475951</v>
      </c>
      <c r="AE12" s="6">
        <f t="shared" si="3"/>
        <v>1.1803425518045167</v>
      </c>
      <c r="AF12" s="6">
        <f t="shared" si="16"/>
        <v>0.52100144363566636</v>
      </c>
      <c r="AG12" s="36">
        <f t="shared" si="4"/>
        <v>145.87611672825957</v>
      </c>
      <c r="AH12" s="5">
        <f t="shared" si="5"/>
        <v>73.15912820047123</v>
      </c>
      <c r="AI12" s="5">
        <f t="shared" si="17"/>
        <v>69.79751400189221</v>
      </c>
      <c r="AJ12" s="5">
        <f t="shared" si="6"/>
        <v>3.361614198579014</v>
      </c>
      <c r="AK12" s="5">
        <f t="shared" si="7"/>
        <v>72.716988527788345</v>
      </c>
      <c r="AL12" s="5">
        <f t="shared" si="18"/>
        <v>30.322696158050636</v>
      </c>
      <c r="AM12" s="5">
        <f t="shared" si="19"/>
        <v>37.132250775305884</v>
      </c>
      <c r="AN12" s="5">
        <f t="shared" si="8"/>
        <v>1.3023836583398543</v>
      </c>
      <c r="AO12" s="5">
        <f>(AK12+AH12)*Defense!B9</f>
        <v>6.5644252527716809</v>
      </c>
      <c r="AP12" s="41">
        <f t="shared" si="9"/>
        <v>266</v>
      </c>
      <c r="AQ12" s="42">
        <f t="shared" si="10"/>
        <v>154.9</v>
      </c>
      <c r="AR12" s="42">
        <f t="shared" si="11"/>
        <v>111.1</v>
      </c>
      <c r="AS12" s="36">
        <f>Capital!C11</f>
        <v>57.710425130523518</v>
      </c>
      <c r="AT12" s="5">
        <f>Capital!D11</f>
        <v>14.169061250479603</v>
      </c>
      <c r="AU12" s="5">
        <f>Capital!E11</f>
        <v>43.541363880043917</v>
      </c>
      <c r="AV12" s="41">
        <f t="shared" si="12"/>
        <v>310.3267085076709</v>
      </c>
      <c r="AW12" s="42">
        <f t="shared" si="13"/>
        <v>180.71280882645948</v>
      </c>
      <c r="AX12" s="64">
        <f t="shared" si="14"/>
        <v>129.61389968121142</v>
      </c>
      <c r="AZ12" s="36">
        <f t="shared" si="20"/>
        <v>145.87611672825957</v>
      </c>
      <c r="BA12" s="5">
        <f t="shared" si="21"/>
        <v>73.15912820047123</v>
      </c>
      <c r="BB12" s="5">
        <f t="shared" si="22"/>
        <v>69.79751400189221</v>
      </c>
      <c r="BC12" s="5">
        <f t="shared" si="23"/>
        <v>3.361614198579014</v>
      </c>
      <c r="BD12" s="5">
        <f t="shared" si="24"/>
        <v>72.716988527788345</v>
      </c>
      <c r="BE12" s="5">
        <f>BE$29/ConsNonAg!Q$28*ConsNonAg!Q11</f>
        <v>40.261388408774387</v>
      </c>
      <c r="BF12" s="5">
        <f t="shared" si="15"/>
        <v>27.19355852458213</v>
      </c>
      <c r="BG12" s="5">
        <f t="shared" si="25"/>
        <v>1.3023836583398543</v>
      </c>
      <c r="BH12" s="58">
        <f t="shared" si="26"/>
        <v>6.5644252527716809</v>
      </c>
    </row>
    <row r="13" spans="1:62">
      <c r="A13" s="17">
        <f>'60years'!A15</f>
        <v>1959</v>
      </c>
      <c r="B13" s="22">
        <f>'60years'!B15</f>
        <v>67207</v>
      </c>
      <c r="C13" s="41">
        <f>'60years'!C15</f>
        <v>26173</v>
      </c>
      <c r="D13" s="42">
        <f>'60years'!D15</f>
        <v>16271</v>
      </c>
      <c r="E13" s="42">
        <f>'60years'!E15</f>
        <v>5402</v>
      </c>
      <c r="F13" s="42">
        <f>'60years'!F15</f>
        <v>4500</v>
      </c>
      <c r="G13" s="36">
        <f>'60years'!G15</f>
        <v>1440.3638085838686</v>
      </c>
      <c r="H13" s="5">
        <f>'60years'!H15</f>
        <v>387.24249551524815</v>
      </c>
      <c r="I13" s="5">
        <f>'60years'!I15</f>
        <v>615.5</v>
      </c>
      <c r="J13" s="5">
        <f>'60years'!J15</f>
        <v>437.62131306862057</v>
      </c>
      <c r="K13" s="36">
        <f>'60years'!K15</f>
        <v>205.27487309917055</v>
      </c>
      <c r="L13" s="5">
        <f>'60years'!L15</f>
        <v>101.92096243264852</v>
      </c>
      <c r="M13" s="5">
        <f>'60years'!M15</f>
        <v>472.25964820041702</v>
      </c>
      <c r="N13" s="5">
        <f>'60years'!N15</f>
        <v>211.00678843694425</v>
      </c>
      <c r="O13" s="36">
        <f>'60years'!O15</f>
        <v>821.5</v>
      </c>
      <c r="P13" s="5">
        <f>'60years'!P15</f>
        <v>691.2</v>
      </c>
      <c r="Q13" s="5">
        <f>'60years'!Q15</f>
        <v>130.29999999999995</v>
      </c>
      <c r="R13" s="5">
        <f>'60years'!R15</f>
        <v>621.70000000000005</v>
      </c>
      <c r="S13" s="5">
        <f>'60years'!S15</f>
        <v>435.7</v>
      </c>
      <c r="T13" s="5">
        <f>'60years'!T15</f>
        <v>186.00000000000006</v>
      </c>
      <c r="U13" s="5">
        <f>'60years'!U15</f>
        <v>8.1</v>
      </c>
      <c r="V13" s="22">
        <f>'60years'!V15</f>
        <v>78.099999999999994</v>
      </c>
      <c r="W13" s="4">
        <f>'60years'!W15</f>
        <v>71.2</v>
      </c>
      <c r="X13" s="18">
        <f>'60years'!X15</f>
        <v>6.9</v>
      </c>
      <c r="Y13" s="4"/>
      <c r="Z13" s="61">
        <f>V13*TradeCSY!B12-Merge60_CSY!W13*TradeCSY!D12</f>
        <v>23.033912250975561</v>
      </c>
      <c r="AA13" s="62">
        <f t="shared" si="0"/>
        <v>16.13391225097557</v>
      </c>
      <c r="AB13" s="4"/>
      <c r="AC13" s="63">
        <f t="shared" si="1"/>
        <v>0.90737151351343182</v>
      </c>
      <c r="AD13" s="6">
        <f t="shared" si="2"/>
        <v>0.62911744603399555</v>
      </c>
      <c r="AE13" s="6">
        <f t="shared" si="3"/>
        <v>1.0836035306944005</v>
      </c>
      <c r="AF13" s="6">
        <f t="shared" si="16"/>
        <v>0.58057899242063304</v>
      </c>
      <c r="AG13" s="36">
        <f t="shared" si="4"/>
        <v>158.74024995634238</v>
      </c>
      <c r="AH13" s="5">
        <f t="shared" si="5"/>
        <v>61.553291512809643</v>
      </c>
      <c r="AI13" s="5">
        <f t="shared" si="17"/>
        <v>57.891985917775983</v>
      </c>
      <c r="AJ13" s="5">
        <f t="shared" si="6"/>
        <v>3.6613055950336624</v>
      </c>
      <c r="AK13" s="5">
        <f t="shared" si="7"/>
        <v>97.186958443532745</v>
      </c>
      <c r="AL13" s="5">
        <f t="shared" si="18"/>
        <v>43.197261763326566</v>
      </c>
      <c r="AM13" s="5">
        <f t="shared" si="19"/>
        <v>48.017817785895296</v>
      </c>
      <c r="AN13" s="5">
        <f t="shared" si="8"/>
        <v>1.4889128536372112</v>
      </c>
      <c r="AO13" s="5">
        <f>(AK13+AH13)*Defense!B10</f>
        <v>7.4607917479480923</v>
      </c>
      <c r="AP13" s="41">
        <f t="shared" si="9"/>
        <v>261.73</v>
      </c>
      <c r="AQ13" s="42">
        <f t="shared" si="10"/>
        <v>162.71</v>
      </c>
      <c r="AR13" s="42">
        <f t="shared" si="11"/>
        <v>99.02</v>
      </c>
      <c r="AS13" s="36">
        <f>Capital!C12</f>
        <v>82.018462398579473</v>
      </c>
      <c r="AT13" s="5">
        <f>Capital!D12</f>
        <v>17.456203414440068</v>
      </c>
      <c r="AU13" s="5">
        <f>Capital!E12</f>
        <v>64.562258984139405</v>
      </c>
      <c r="AV13" s="41">
        <f t="shared" si="12"/>
        <v>305.3451481868899</v>
      </c>
      <c r="AW13" s="42">
        <f t="shared" si="13"/>
        <v>189.82428098226742</v>
      </c>
      <c r="AX13" s="64">
        <f t="shared" si="14"/>
        <v>115.52086720462245</v>
      </c>
      <c r="AZ13" s="36">
        <f t="shared" si="20"/>
        <v>158.74024995634238</v>
      </c>
      <c r="BA13" s="5">
        <f t="shared" si="21"/>
        <v>61.553291512809643</v>
      </c>
      <c r="BB13" s="5">
        <f t="shared" si="22"/>
        <v>57.891985917775983</v>
      </c>
      <c r="BC13" s="5">
        <f t="shared" si="23"/>
        <v>3.6613055950336624</v>
      </c>
      <c r="BD13" s="5">
        <f t="shared" si="24"/>
        <v>97.186958443532745</v>
      </c>
      <c r="BE13" s="5">
        <f>BE$29/ConsNonAg!Q$28*ConsNonAg!Q12</f>
        <v>53.40496834739357</v>
      </c>
      <c r="BF13" s="5">
        <f t="shared" si="15"/>
        <v>37.810111201828292</v>
      </c>
      <c r="BG13" s="5">
        <f t="shared" si="25"/>
        <v>1.4889128536372112</v>
      </c>
      <c r="BH13" s="58">
        <f t="shared" si="26"/>
        <v>7.4607917479480923</v>
      </c>
    </row>
    <row r="14" spans="1:62">
      <c r="A14" s="17">
        <f>'60years'!A16</f>
        <v>1960</v>
      </c>
      <c r="B14" s="22">
        <f>'60years'!B16</f>
        <v>66207</v>
      </c>
      <c r="C14" s="41">
        <f>'60years'!C16</f>
        <v>25880</v>
      </c>
      <c r="D14" s="42">
        <f>'60years'!D16</f>
        <v>17016</v>
      </c>
      <c r="E14" s="42">
        <f>'60years'!E16</f>
        <v>4112</v>
      </c>
      <c r="F14" s="42">
        <f>'60years'!F16</f>
        <v>4752</v>
      </c>
      <c r="G14" s="36">
        <f>'60years'!G16</f>
        <v>1457.4730167300704</v>
      </c>
      <c r="H14" s="5">
        <f>'60years'!H16</f>
        <v>343.75590990631849</v>
      </c>
      <c r="I14" s="5">
        <f>'60years'!I16</f>
        <v>648.20000000000005</v>
      </c>
      <c r="J14" s="5">
        <f>'60years'!J16</f>
        <v>465.51710682375187</v>
      </c>
      <c r="K14" s="36">
        <f>'60years'!K16</f>
        <v>204.61936860800796</v>
      </c>
      <c r="L14" s="5">
        <f>'60years'!L16</f>
        <v>85.228704616126095</v>
      </c>
      <c r="M14" s="5">
        <f>'60years'!M16</f>
        <v>498.5952690611914</v>
      </c>
      <c r="N14" s="5">
        <f>'60years'!N16</f>
        <v>221.51074181436277</v>
      </c>
      <c r="O14" s="36">
        <f>'60years'!O16</f>
        <v>932.6</v>
      </c>
      <c r="P14" s="5">
        <f>'60years'!P16</f>
        <v>741.7</v>
      </c>
      <c r="Q14" s="5">
        <f>'60years'!Q16</f>
        <v>190.89999999999998</v>
      </c>
      <c r="R14" s="5">
        <f>'60years'!R16</f>
        <v>575</v>
      </c>
      <c r="S14" s="5">
        <f>'60years'!S16</f>
        <v>473</v>
      </c>
      <c r="T14" s="5">
        <f>'60years'!T16</f>
        <v>102</v>
      </c>
      <c r="U14" s="5">
        <f>'60years'!U16</f>
        <v>0.4</v>
      </c>
      <c r="V14" s="22">
        <f>'60years'!V16</f>
        <v>63.3</v>
      </c>
      <c r="W14" s="4">
        <f>'60years'!W16</f>
        <v>65.099999999999994</v>
      </c>
      <c r="X14" s="18">
        <f>'60years'!X16</f>
        <v>-1.8</v>
      </c>
      <c r="Y14" s="4"/>
      <c r="Z14" s="61">
        <f>V14*TradeCSY!B13-Merge60_CSY!W14*TradeCSY!D13</f>
        <v>29.782568095807942</v>
      </c>
      <c r="AA14" s="62">
        <f t="shared" si="0"/>
        <v>31.58256809580794</v>
      </c>
      <c r="AB14" s="4"/>
      <c r="AC14" s="63">
        <f t="shared" si="1"/>
        <v>0.92109095023311149</v>
      </c>
      <c r="AD14" s="6">
        <f t="shared" si="2"/>
        <v>0.66784629388448191</v>
      </c>
      <c r="AE14" s="6">
        <f t="shared" si="3"/>
        <v>1.0431868745051083</v>
      </c>
      <c r="AF14" s="6">
        <f t="shared" si="16"/>
        <v>0.64019813727172392</v>
      </c>
      <c r="AG14" s="36">
        <f t="shared" si="4"/>
        <v>158.23334453141791</v>
      </c>
      <c r="AH14" s="5">
        <f t="shared" si="5"/>
        <v>51.472309280461218</v>
      </c>
      <c r="AI14" s="5">
        <f t="shared" si="17"/>
        <v>47.012814877553076</v>
      </c>
      <c r="AJ14" s="5">
        <f t="shared" si="6"/>
        <v>4.4594944029081436</v>
      </c>
      <c r="AK14" s="5">
        <f t="shared" si="7"/>
        <v>106.7610352509567</v>
      </c>
      <c r="AL14" s="5">
        <f t="shared" si="18"/>
        <v>50.841193601470081</v>
      </c>
      <c r="AM14" s="5">
        <f t="shared" si="19"/>
        <v>51.352149305157347</v>
      </c>
      <c r="AN14" s="5">
        <f t="shared" si="8"/>
        <v>3.0275081931787944</v>
      </c>
      <c r="AO14" s="5">
        <f>(AK14+AH14)*Defense!B11</f>
        <v>7.5952005375080596</v>
      </c>
      <c r="AP14" s="41">
        <f t="shared" si="9"/>
        <v>258.8</v>
      </c>
      <c r="AQ14" s="42">
        <f t="shared" si="10"/>
        <v>170.16</v>
      </c>
      <c r="AR14" s="42">
        <f t="shared" si="11"/>
        <v>88.64</v>
      </c>
      <c r="AS14" s="36">
        <f>Capital!C13</f>
        <v>115.72765048047879</v>
      </c>
      <c r="AT14" s="5">
        <f>Capital!D13</f>
        <v>22.60719211059925</v>
      </c>
      <c r="AU14" s="5">
        <f>Capital!E13</f>
        <v>93.120458369879543</v>
      </c>
      <c r="AV14" s="41">
        <f t="shared" si="12"/>
        <v>301.92688782626027</v>
      </c>
      <c r="AW14" s="42">
        <f t="shared" si="13"/>
        <v>198.51576210400481</v>
      </c>
      <c r="AX14" s="64">
        <f t="shared" si="14"/>
        <v>103.41112572225545</v>
      </c>
      <c r="AZ14" s="36">
        <f t="shared" si="20"/>
        <v>158.23334453141791</v>
      </c>
      <c r="BA14" s="5">
        <f t="shared" si="21"/>
        <v>51.472309280461218</v>
      </c>
      <c r="BB14" s="5">
        <f t="shared" si="22"/>
        <v>47.012814877553076</v>
      </c>
      <c r="BC14" s="5">
        <f t="shared" si="23"/>
        <v>4.4594944029081436</v>
      </c>
      <c r="BD14" s="5">
        <f t="shared" si="24"/>
        <v>106.7610352509567</v>
      </c>
      <c r="BE14" s="5">
        <f>BE$29/ConsNonAg!Q$28*ConsNonAg!Q13</f>
        <v>61.903173973281362</v>
      </c>
      <c r="BF14" s="5">
        <f t="shared" si="15"/>
        <v>40.290168933346074</v>
      </c>
      <c r="BG14" s="5">
        <f t="shared" si="25"/>
        <v>3.0275081931787944</v>
      </c>
      <c r="BH14" s="58">
        <f t="shared" si="26"/>
        <v>7.5952005375080596</v>
      </c>
    </row>
    <row r="15" spans="1:62">
      <c r="A15" s="17">
        <f>'60years'!A17</f>
        <v>1961</v>
      </c>
      <c r="B15" s="22">
        <f>'60years'!B17</f>
        <v>65859</v>
      </c>
      <c r="C15" s="41">
        <f>'60years'!C17</f>
        <v>25590</v>
      </c>
      <c r="D15" s="42">
        <f>'60years'!D17</f>
        <v>19747</v>
      </c>
      <c r="E15" s="42">
        <f>'60years'!E17</f>
        <v>2856</v>
      </c>
      <c r="F15" s="42">
        <f>'60years'!F17</f>
        <v>2987</v>
      </c>
      <c r="G15" s="36">
        <f>'60years'!G17</f>
        <v>1220.9373069807787</v>
      </c>
      <c r="H15" s="5">
        <f>'60years'!H17</f>
        <v>445.05644807653977</v>
      </c>
      <c r="I15" s="5">
        <f>'60years'!I17</f>
        <v>388.9</v>
      </c>
      <c r="J15" s="5">
        <f>'60years'!J17</f>
        <v>386.98085890423897</v>
      </c>
      <c r="K15" s="36">
        <f>'60years'!K17</f>
        <v>148.71211889507742</v>
      </c>
      <c r="L15" s="5">
        <f>'60years'!L17</f>
        <v>86.463090068104194</v>
      </c>
      <c r="M15" s="5">
        <f>'60years'!M17</f>
        <v>288.83979467596436</v>
      </c>
      <c r="N15" s="5">
        <f>'60years'!N17</f>
        <v>164.26136573299101</v>
      </c>
      <c r="O15" s="36">
        <f>'60years'!O17</f>
        <v>995.1</v>
      </c>
      <c r="P15" s="5">
        <f>'60years'!P17</f>
        <v>816.7</v>
      </c>
      <c r="Q15" s="5">
        <f>'60years'!Q17</f>
        <v>178.39999999999998</v>
      </c>
      <c r="R15" s="5">
        <f>'60years'!R17</f>
        <v>274.60000000000002</v>
      </c>
      <c r="S15" s="5">
        <f>'60years'!S17</f>
        <v>227.6</v>
      </c>
      <c r="T15" s="5">
        <f>'60years'!T17</f>
        <v>47.000000000000028</v>
      </c>
      <c r="U15" s="5">
        <f>'60years'!U17</f>
        <v>5.5</v>
      </c>
      <c r="V15" s="22">
        <f>'60years'!V17</f>
        <v>47.7</v>
      </c>
      <c r="W15" s="4">
        <f>'60years'!W17</f>
        <v>43</v>
      </c>
      <c r="X15" s="18">
        <f>'60years'!X17</f>
        <v>4.7</v>
      </c>
      <c r="Y15" s="4"/>
      <c r="Z15" s="61">
        <f>V15*TradeCSY!B14-Merge60_CSY!W15*TradeCSY!D14</f>
        <v>-5.6742310656802255</v>
      </c>
      <c r="AA15" s="62">
        <f t="shared" si="0"/>
        <v>-10.374231065680227</v>
      </c>
      <c r="AB15" s="4"/>
      <c r="AC15" s="63">
        <f t="shared" si="1"/>
        <v>1.0616851311338964</v>
      </c>
      <c r="AD15" s="6">
        <f t="shared" si="2"/>
        <v>0.85230802893893887</v>
      </c>
      <c r="AE15" s="6">
        <f t="shared" si="3"/>
        <v>1.2358303341336225</v>
      </c>
      <c r="AF15" s="6">
        <f t="shared" si="16"/>
        <v>0.68966427299783706</v>
      </c>
      <c r="AG15" s="36">
        <f t="shared" si="4"/>
        <v>114.99994406786109</v>
      </c>
      <c r="AH15" s="5">
        <f t="shared" si="5"/>
        <v>52.217793680836543</v>
      </c>
      <c r="AI15" s="5">
        <f t="shared" si="17"/>
        <v>52.883542550144298</v>
      </c>
      <c r="AJ15" s="5">
        <f t="shared" si="6"/>
        <v>-0.66574886930775801</v>
      </c>
      <c r="AK15" s="5">
        <f t="shared" si="7"/>
        <v>62.782150387024551</v>
      </c>
      <c r="AL15" s="5">
        <f t="shared" si="18"/>
        <v>34.755081130058088</v>
      </c>
      <c r="AM15" s="5">
        <f t="shared" si="19"/>
        <v>21.437617738596337</v>
      </c>
      <c r="AN15" s="5">
        <f t="shared" si="8"/>
        <v>-0.83945431497706924</v>
      </c>
      <c r="AO15" s="5">
        <f>(AK15+AH15)*Defense!B12</f>
        <v>5.7499972033930549</v>
      </c>
      <c r="AP15" s="41">
        <f t="shared" si="9"/>
        <v>255.9</v>
      </c>
      <c r="AQ15" s="42">
        <f t="shared" si="10"/>
        <v>197.47</v>
      </c>
      <c r="AR15" s="42">
        <f t="shared" si="11"/>
        <v>58.43</v>
      </c>
      <c r="AS15" s="36">
        <f>Capital!C14</f>
        <v>150.2314368898009</v>
      </c>
      <c r="AT15" s="5">
        <f>Capital!D14</f>
        <v>28.66236404701948</v>
      </c>
      <c r="AU15" s="5">
        <f>Capital!E14</f>
        <v>121.56907284278142</v>
      </c>
      <c r="AV15" s="41">
        <f t="shared" si="12"/>
        <v>298.54362671846985</v>
      </c>
      <c r="AW15" s="42">
        <f t="shared" si="13"/>
        <v>230.37674860529989</v>
      </c>
      <c r="AX15" s="64">
        <f t="shared" si="14"/>
        <v>68.166878113169957</v>
      </c>
      <c r="AZ15" s="36">
        <f t="shared" si="20"/>
        <v>114.99994406786109</v>
      </c>
      <c r="BA15" s="5">
        <f t="shared" si="21"/>
        <v>52.217793680836543</v>
      </c>
      <c r="BB15" s="5">
        <f t="shared" si="22"/>
        <v>52.883542550144298</v>
      </c>
      <c r="BC15" s="5">
        <f t="shared" si="23"/>
        <v>-0.66574886930775801</v>
      </c>
      <c r="BD15" s="5">
        <f t="shared" si="24"/>
        <v>62.782150387024551</v>
      </c>
      <c r="BE15" s="5">
        <f>BE$29/ConsNonAg!Q$28*ConsNonAg!Q14</f>
        <v>52.253595655915582</v>
      </c>
      <c r="BF15" s="5">
        <f t="shared" si="15"/>
        <v>3.9391032127388446</v>
      </c>
      <c r="BG15" s="5">
        <f t="shared" si="25"/>
        <v>-0.83945431497706924</v>
      </c>
      <c r="BH15" s="58">
        <f t="shared" si="26"/>
        <v>5.7499972033930549</v>
      </c>
    </row>
    <row r="16" spans="1:62">
      <c r="A16" s="17">
        <f>'60years'!A18</f>
        <v>1962</v>
      </c>
      <c r="B16" s="22">
        <f>'60years'!B18</f>
        <v>67295</v>
      </c>
      <c r="C16" s="41">
        <f>'60years'!C18</f>
        <v>25910</v>
      </c>
      <c r="D16" s="42">
        <f>'60years'!D18</f>
        <v>21276</v>
      </c>
      <c r="E16" s="42">
        <f>'60years'!E18</f>
        <v>2059</v>
      </c>
      <c r="F16" s="42">
        <f>'60years'!F18</f>
        <v>2575</v>
      </c>
      <c r="G16" s="36">
        <f>'60years'!G18</f>
        <v>1151.2390351797449</v>
      </c>
      <c r="H16" s="5">
        <f>'60years'!H18</f>
        <v>457.16408212078932</v>
      </c>
      <c r="I16" s="5">
        <f>'60years'!I18</f>
        <v>359.3</v>
      </c>
      <c r="J16" s="5">
        <f>'60years'!J18</f>
        <v>334.77495305895553</v>
      </c>
      <c r="K16" s="36">
        <f>'60years'!K18</f>
        <v>140.3653617076076</v>
      </c>
      <c r="L16" s="5">
        <f>'60years'!L18</f>
        <v>90.390680142580038</v>
      </c>
      <c r="M16" s="5">
        <f>'60years'!M18</f>
        <v>257.77925360193336</v>
      </c>
      <c r="N16" s="5">
        <f>'60years'!N18</f>
        <v>148.98931184551134</v>
      </c>
      <c r="O16" s="36">
        <f>'60years'!O18</f>
        <v>985.7</v>
      </c>
      <c r="P16" s="5">
        <f>'60years'!P18</f>
        <v>838.7</v>
      </c>
      <c r="Q16" s="5">
        <f>'60years'!Q18</f>
        <v>147</v>
      </c>
      <c r="R16" s="5">
        <f>'60years'!R18</f>
        <v>178.1</v>
      </c>
      <c r="S16" s="5">
        <f>'60years'!S18</f>
        <v>175.1</v>
      </c>
      <c r="T16" s="5">
        <f>'60years'!T18</f>
        <v>3</v>
      </c>
      <c r="U16" s="5">
        <f>'60years'!U18</f>
        <v>12.6</v>
      </c>
      <c r="V16" s="22">
        <f>'60years'!V18</f>
        <v>47.1</v>
      </c>
      <c r="W16" s="4">
        <f>'60years'!W18</f>
        <v>33.799999999999997</v>
      </c>
      <c r="X16" s="18">
        <f>'60years'!X18</f>
        <v>13.3</v>
      </c>
      <c r="Y16" s="4"/>
      <c r="Z16" s="61">
        <f>V16*TradeCSY!B15-Merge60_CSY!W16*TradeCSY!D15</f>
        <v>-4.9077301551341757</v>
      </c>
      <c r="AA16" s="62">
        <f t="shared" si="0"/>
        <v>-18.207730155134179</v>
      </c>
      <c r="AB16" s="4"/>
      <c r="AC16" s="63">
        <f t="shared" si="1"/>
        <v>1.0606065141964964</v>
      </c>
      <c r="AD16" s="6">
        <f t="shared" si="2"/>
        <v>0.83745346209662264</v>
      </c>
      <c r="AE16" s="6">
        <f t="shared" si="3"/>
        <v>1.2863826604558031</v>
      </c>
      <c r="AF16" s="6">
        <f t="shared" si="16"/>
        <v>0.65101426491545555</v>
      </c>
      <c r="AG16" s="36">
        <f t="shared" si="4"/>
        <v>108.54534832382305</v>
      </c>
      <c r="AH16" s="5">
        <f t="shared" si="5"/>
        <v>54.589789500212632</v>
      </c>
      <c r="AI16" s="5">
        <f t="shared" si="17"/>
        <v>55.175819694994722</v>
      </c>
      <c r="AJ16" s="5">
        <f t="shared" si="6"/>
        <v>-0.58603019478208773</v>
      </c>
      <c r="AK16" s="5">
        <f t="shared" si="7"/>
        <v>53.955558823610417</v>
      </c>
      <c r="AL16" s="5">
        <f t="shared" si="18"/>
        <v>29.300904729245609</v>
      </c>
      <c r="AM16" s="5">
        <f t="shared" si="19"/>
        <v>16.509421510828055</v>
      </c>
      <c r="AN16" s="5">
        <f t="shared" si="8"/>
        <v>-1.4154209874597226</v>
      </c>
      <c r="AO16" s="5">
        <f>(AK16+AH16)*Defense!B13</f>
        <v>6.7298115960770293</v>
      </c>
      <c r="AP16" s="41">
        <f t="shared" si="9"/>
        <v>259.10000000000002</v>
      </c>
      <c r="AQ16" s="42">
        <f t="shared" si="10"/>
        <v>212.76</v>
      </c>
      <c r="AR16" s="42">
        <f t="shared" si="11"/>
        <v>46.34</v>
      </c>
      <c r="AS16" s="36">
        <f>Capital!C15</f>
        <v>146.6589682580497</v>
      </c>
      <c r="AT16" s="5">
        <f>Capital!D15</f>
        <v>28.063828436877426</v>
      </c>
      <c r="AU16" s="5">
        <f>Capital!E15</f>
        <v>118.59513982117227</v>
      </c>
      <c r="AV16" s="41">
        <f t="shared" si="12"/>
        <v>302.27688035465241</v>
      </c>
      <c r="AW16" s="42">
        <f t="shared" si="13"/>
        <v>248.21470113568444</v>
      </c>
      <c r="AX16" s="64">
        <f t="shared" si="14"/>
        <v>54.062179218967934</v>
      </c>
      <c r="AZ16" s="36">
        <f t="shared" si="20"/>
        <v>108.54534832382305</v>
      </c>
      <c r="BA16" s="5">
        <f t="shared" si="21"/>
        <v>54.589789500212632</v>
      </c>
      <c r="BB16" s="5">
        <f t="shared" si="22"/>
        <v>55.175819694994722</v>
      </c>
      <c r="BC16" s="5">
        <f t="shared" si="23"/>
        <v>-0.58603019478208773</v>
      </c>
      <c r="BD16" s="5">
        <f t="shared" si="24"/>
        <v>53.955558823610417</v>
      </c>
      <c r="BE16" s="114">
        <f>BE$29/ConsNonAg!Q$28*ConsNonAg!Q15-2.25</f>
        <v>45.715704181574459</v>
      </c>
      <c r="BF16" s="114">
        <f t="shared" si="15"/>
        <v>9.462205849920613E-2</v>
      </c>
      <c r="BG16" s="5">
        <f t="shared" si="25"/>
        <v>-1.4154209874597226</v>
      </c>
      <c r="BH16" s="58">
        <f t="shared" si="26"/>
        <v>6.7298115960770293</v>
      </c>
      <c r="BJ16" t="s">
        <v>244</v>
      </c>
    </row>
    <row r="17" spans="1:62">
      <c r="A17" s="17">
        <f>'60years'!A19</f>
        <v>1963</v>
      </c>
      <c r="B17" s="22">
        <f>'60years'!B19</f>
        <v>69172</v>
      </c>
      <c r="C17" s="41">
        <f>'60years'!C19</f>
        <v>26640</v>
      </c>
      <c r="D17" s="42">
        <f>'60years'!D19</f>
        <v>21966</v>
      </c>
      <c r="E17" s="42">
        <f>'60years'!E19</f>
        <v>2038</v>
      </c>
      <c r="F17" s="42">
        <f>'60years'!F19</f>
        <v>2636</v>
      </c>
      <c r="G17" s="36">
        <f>'60years'!G19</f>
        <v>1236.3672023695822</v>
      </c>
      <c r="H17" s="5">
        <f>'60years'!H19</f>
        <v>501.96232808451265</v>
      </c>
      <c r="I17" s="5">
        <f>'60years'!I19</f>
        <v>407.6</v>
      </c>
      <c r="J17" s="5">
        <f>'60years'!J19</f>
        <v>326.80487428506956</v>
      </c>
      <c r="K17" s="36">
        <f>'60years'!K19</f>
        <v>154.69905991436207</v>
      </c>
      <c r="L17" s="5">
        <f>'60years'!L19</f>
        <v>100.60241433621727</v>
      </c>
      <c r="M17" s="5">
        <f>'60years'!M19</f>
        <v>295.1913267659159</v>
      </c>
      <c r="N17" s="5">
        <f>'60years'!N19</f>
        <v>155.50440701225011</v>
      </c>
      <c r="O17" s="36">
        <f>'60years'!O19</f>
        <v>1014.3</v>
      </c>
      <c r="P17" s="5">
        <f>'60years'!P19</f>
        <v>844.2</v>
      </c>
      <c r="Q17" s="5">
        <f>'60years'!Q19</f>
        <v>170.09999999999991</v>
      </c>
      <c r="R17" s="5">
        <f>'60years'!R19</f>
        <v>265.3</v>
      </c>
      <c r="S17" s="5">
        <f>'60years'!S19</f>
        <v>215.3</v>
      </c>
      <c r="T17" s="5">
        <f>'60years'!T19</f>
        <v>50</v>
      </c>
      <c r="U17" s="5">
        <f>'60years'!U19</f>
        <v>13.5</v>
      </c>
      <c r="V17" s="22">
        <f>'60years'!V19</f>
        <v>50</v>
      </c>
      <c r="W17" s="4">
        <f>'60years'!W19</f>
        <v>35.700000000000003</v>
      </c>
      <c r="X17" s="18">
        <f>'60years'!X19</f>
        <v>14.3</v>
      </c>
      <c r="Y17" s="4"/>
      <c r="Z17" s="61">
        <f>V17*TradeCSY!B16-Merge60_CSY!W17*TradeCSY!D16</f>
        <v>-1.573551882612314</v>
      </c>
      <c r="AA17" s="62">
        <f t="shared" si="0"/>
        <v>-15.873551882612311</v>
      </c>
      <c r="AB17" s="4"/>
      <c r="AC17" s="63">
        <f t="shared" si="1"/>
        <v>1.0334953662446951</v>
      </c>
      <c r="AD17" s="6">
        <f t="shared" si="2"/>
        <v>0.82618053003672587</v>
      </c>
      <c r="AE17" s="6">
        <f t="shared" si="3"/>
        <v>1.2474455115571408</v>
      </c>
      <c r="AF17" s="6">
        <f t="shared" si="16"/>
        <v>0.66229788987371063</v>
      </c>
      <c r="AG17" s="36">
        <f t="shared" si="4"/>
        <v>119.62968028217112</v>
      </c>
      <c r="AH17" s="5">
        <f t="shared" si="5"/>
        <v>60.756978630590467</v>
      </c>
      <c r="AI17" s="5">
        <f t="shared" si="17"/>
        <v>60.947439652776787</v>
      </c>
      <c r="AJ17" s="5">
        <f t="shared" si="6"/>
        <v>-0.19046102218632113</v>
      </c>
      <c r="AK17" s="5">
        <f t="shared" si="7"/>
        <v>58.872701651580655</v>
      </c>
      <c r="AL17" s="5">
        <f t="shared" si="18"/>
        <v>28.872440911200606</v>
      </c>
      <c r="AM17" s="5">
        <f t="shared" si="19"/>
        <v>20.832217253408043</v>
      </c>
      <c r="AN17" s="5">
        <f t="shared" si="8"/>
        <v>-1.2724845883487075</v>
      </c>
      <c r="AO17" s="5">
        <f>(AK17+AH17)*Defense!B14</f>
        <v>7.8955588986232943</v>
      </c>
      <c r="AP17" s="41">
        <f t="shared" si="9"/>
        <v>266.39999999999998</v>
      </c>
      <c r="AQ17" s="42">
        <f t="shared" si="10"/>
        <v>219.66</v>
      </c>
      <c r="AR17" s="42">
        <f t="shared" si="11"/>
        <v>46.74</v>
      </c>
      <c r="AS17" s="36">
        <f>Capital!C16</f>
        <v>139.42064190364641</v>
      </c>
      <c r="AT17" s="5">
        <f>Capital!D16</f>
        <v>26.740937353647627</v>
      </c>
      <c r="AU17" s="5">
        <f>Capital!E16</f>
        <v>112.67970454999879</v>
      </c>
      <c r="AV17" s="41">
        <f t="shared" si="12"/>
        <v>310.79336521219369</v>
      </c>
      <c r="AW17" s="42">
        <f t="shared" si="13"/>
        <v>256.26452928870299</v>
      </c>
      <c r="AX17" s="64">
        <f t="shared" si="14"/>
        <v>54.528835923490746</v>
      </c>
      <c r="AZ17" s="36">
        <f t="shared" si="20"/>
        <v>119.62968028217112</v>
      </c>
      <c r="BA17" s="5">
        <f t="shared" si="21"/>
        <v>60.756978630590467</v>
      </c>
      <c r="BB17" s="5">
        <f t="shared" si="22"/>
        <v>60.947439652776787</v>
      </c>
      <c r="BC17" s="5">
        <f t="shared" si="23"/>
        <v>-0.19046102218632113</v>
      </c>
      <c r="BD17" s="5">
        <f t="shared" si="24"/>
        <v>58.872701651580655</v>
      </c>
      <c r="BE17" s="5">
        <f>BE$29/ConsNonAg!Q$28*ConsNonAg!Q16</f>
        <v>47.005099055780882</v>
      </c>
      <c r="BF17" s="5">
        <f t="shared" si="15"/>
        <v>2.6995591088277719</v>
      </c>
      <c r="BG17" s="5">
        <f t="shared" si="25"/>
        <v>-1.2724845883487075</v>
      </c>
      <c r="BH17" s="58">
        <f t="shared" si="26"/>
        <v>7.8955588986232943</v>
      </c>
      <c r="BJ17" s="2">
        <f>BD17-BE17-BF17-BH17+BG17</f>
        <v>0</v>
      </c>
    </row>
    <row r="18" spans="1:62">
      <c r="A18" s="17">
        <f>'60years'!A20</f>
        <v>1964</v>
      </c>
      <c r="B18" s="22">
        <f>'60years'!B20</f>
        <v>70499</v>
      </c>
      <c r="C18" s="41">
        <f>'60years'!C20</f>
        <v>27736</v>
      </c>
      <c r="D18" s="42">
        <f>'60years'!D20</f>
        <v>22801</v>
      </c>
      <c r="E18" s="42">
        <f>'60years'!E20</f>
        <v>2183</v>
      </c>
      <c r="F18" s="42">
        <f>'60years'!F20</f>
        <v>2752</v>
      </c>
      <c r="G18" s="36">
        <f>'60years'!G20</f>
        <v>1455.5393739564422</v>
      </c>
      <c r="H18" s="5">
        <f>'60years'!H20</f>
        <v>564.0139525612916</v>
      </c>
      <c r="I18" s="5">
        <f>'60years'!I20</f>
        <v>513.5</v>
      </c>
      <c r="J18" s="5">
        <f>'60years'!J20</f>
        <v>378.0254213951506</v>
      </c>
      <c r="K18" s="36">
        <f>'60years'!K20</f>
        <v>182.94402010023288</v>
      </c>
      <c r="L18" s="5">
        <f>'60years'!L20</f>
        <v>113.61957001162294</v>
      </c>
      <c r="M18" s="5">
        <f>'60years'!M20</f>
        <v>370.79005017802126</v>
      </c>
      <c r="N18" s="5">
        <f>'60years'!N20</f>
        <v>179.62125023274152</v>
      </c>
      <c r="O18" s="36">
        <f>'60years'!O20</f>
        <v>1078.5999999999999</v>
      </c>
      <c r="P18" s="5">
        <f>'60years'!P20</f>
        <v>889.6</v>
      </c>
      <c r="Q18" s="5">
        <f>'60years'!Q20</f>
        <v>188.99999999999989</v>
      </c>
      <c r="R18" s="5">
        <f>'60years'!R20</f>
        <v>350.3</v>
      </c>
      <c r="S18" s="5">
        <f>'60years'!S20</f>
        <v>290.3</v>
      </c>
      <c r="T18" s="5">
        <f>'60years'!T20</f>
        <v>60</v>
      </c>
      <c r="U18" s="5">
        <f>'60years'!U20</f>
        <v>12.9</v>
      </c>
      <c r="V18" s="22">
        <f>'60years'!V20</f>
        <v>55.4</v>
      </c>
      <c r="W18" s="4">
        <f>'60years'!W20</f>
        <v>42.1</v>
      </c>
      <c r="X18" s="18">
        <f>'60years'!X20</f>
        <v>13.3</v>
      </c>
      <c r="Y18" s="4"/>
      <c r="Z18" s="61">
        <f>V18*TradeCSY!B17-Merge60_CSY!W18*TradeCSY!D17</f>
        <v>0.22515983140394091</v>
      </c>
      <c r="AA18" s="62">
        <f t="shared" si="0"/>
        <v>-13.074840168596056</v>
      </c>
      <c r="AB18" s="4"/>
      <c r="AC18" s="63">
        <f t="shared" si="1"/>
        <v>1.0288557103297535</v>
      </c>
      <c r="AD18" s="6">
        <f t="shared" si="2"/>
        <v>0.8219567019382541</v>
      </c>
      <c r="AE18" s="6">
        <f t="shared" si="3"/>
        <v>1.2237282102053033</v>
      </c>
      <c r="AF18" s="6">
        <f t="shared" si="16"/>
        <v>0.67168240062093154</v>
      </c>
      <c r="AG18" s="36">
        <f t="shared" si="4"/>
        <v>141.47167181391592</v>
      </c>
      <c r="AH18" s="5">
        <f t="shared" si="5"/>
        <v>68.618450489094087</v>
      </c>
      <c r="AI18" s="5">
        <f t="shared" si="17"/>
        <v>68.591057339202735</v>
      </c>
      <c r="AJ18" s="5">
        <f t="shared" si="6"/>
        <v>2.7393149891349756E-2</v>
      </c>
      <c r="AK18" s="5">
        <f t="shared" si="7"/>
        <v>72.853221324821831</v>
      </c>
      <c r="AL18" s="5">
        <f t="shared" si="18"/>
        <v>34.656250173583885</v>
      </c>
      <c r="AM18" s="5">
        <f t="shared" si="19"/>
        <v>28.215812682514773</v>
      </c>
      <c r="AN18" s="5">
        <f t="shared" si="8"/>
        <v>-1.0684431444464704</v>
      </c>
      <c r="AO18" s="5">
        <f>(AK18+AH18)*Defense!B15</f>
        <v>8.9127153242767037</v>
      </c>
      <c r="AP18" s="41">
        <f t="shared" si="9"/>
        <v>277.36</v>
      </c>
      <c r="AQ18" s="42">
        <f t="shared" si="10"/>
        <v>228.01</v>
      </c>
      <c r="AR18" s="42">
        <f t="shared" si="11"/>
        <v>49.35</v>
      </c>
      <c r="AS18" s="36">
        <f>Capital!C17</f>
        <v>135.14916891729186</v>
      </c>
      <c r="AT18" s="5">
        <f>Capital!D17</f>
        <v>25.616818096812342</v>
      </c>
      <c r="AU18" s="5">
        <f>Capital!E17</f>
        <v>109.53235082047952</v>
      </c>
      <c r="AV18" s="41">
        <f t="shared" si="12"/>
        <v>323.57975891611881</v>
      </c>
      <c r="AW18" s="42">
        <f t="shared" si="13"/>
        <v>266.00598799561669</v>
      </c>
      <c r="AX18" s="64">
        <f t="shared" si="14"/>
        <v>57.573770920502099</v>
      </c>
      <c r="AZ18" s="36">
        <f t="shared" si="20"/>
        <v>141.47167181391592</v>
      </c>
      <c r="BA18" s="5">
        <f t="shared" si="21"/>
        <v>68.618450489094087</v>
      </c>
      <c r="BB18" s="5">
        <f t="shared" si="22"/>
        <v>68.591057339202735</v>
      </c>
      <c r="BC18" s="5">
        <f t="shared" si="23"/>
        <v>2.7393149891349756E-2</v>
      </c>
      <c r="BD18" s="5">
        <f t="shared" si="24"/>
        <v>72.853221324821831</v>
      </c>
      <c r="BE18" s="5">
        <f>BE$29/ConsNonAg!Q$28*ConsNonAg!Q17</f>
        <v>47.289759094586564</v>
      </c>
      <c r="BF18" s="5">
        <f t="shared" si="15"/>
        <v>15.582303761512092</v>
      </c>
      <c r="BG18" s="5">
        <f t="shared" si="25"/>
        <v>-1.0684431444464704</v>
      </c>
      <c r="BH18" s="58">
        <f t="shared" si="26"/>
        <v>8.9127153242767037</v>
      </c>
    </row>
    <row r="19" spans="1:62">
      <c r="A19" s="17">
        <f>'60years'!A21</f>
        <v>1965</v>
      </c>
      <c r="B19" s="22">
        <f>'60years'!B21</f>
        <v>72538</v>
      </c>
      <c r="C19" s="41">
        <f>'60years'!C21</f>
        <v>28670</v>
      </c>
      <c r="D19" s="42">
        <f>'60years'!D21</f>
        <v>23396</v>
      </c>
      <c r="E19" s="42">
        <f>'60years'!E21</f>
        <v>2408</v>
      </c>
      <c r="F19" s="42">
        <f>'60years'!F21</f>
        <v>2866</v>
      </c>
      <c r="G19" s="36">
        <f>'60years'!G21</f>
        <v>1717.2037770499346</v>
      </c>
      <c r="H19" s="5">
        <f>'60years'!H21</f>
        <v>656.94004385090693</v>
      </c>
      <c r="I19" s="5">
        <f>'60years'!I21</f>
        <v>602.20000000000005</v>
      </c>
      <c r="J19" s="5">
        <f>'60years'!J21</f>
        <v>458.06373319902764</v>
      </c>
      <c r="K19" s="36">
        <f>'60years'!K21</f>
        <v>214.10233358015947</v>
      </c>
      <c r="L19" s="5">
        <f>'60years'!L21</f>
        <v>124.61682222015534</v>
      </c>
      <c r="M19" s="5">
        <f>'60years'!M21</f>
        <v>460.64099193831061</v>
      </c>
      <c r="N19" s="5">
        <f>'60years'!N21</f>
        <v>208.06018376192623</v>
      </c>
      <c r="O19" s="36">
        <f>'60years'!O21</f>
        <v>1158.5999999999999</v>
      </c>
      <c r="P19" s="5">
        <f>'60years'!P21</f>
        <v>951.5</v>
      </c>
      <c r="Q19" s="5">
        <f>'60years'!Q21</f>
        <v>207.09999999999991</v>
      </c>
      <c r="R19" s="5">
        <f>'60years'!R21</f>
        <v>462.1</v>
      </c>
      <c r="S19" s="5">
        <f>'60years'!S21</f>
        <v>350.1</v>
      </c>
      <c r="T19" s="5">
        <f>'60years'!T21</f>
        <v>112</v>
      </c>
      <c r="U19" s="5">
        <f>'60years'!U21</f>
        <v>8.5</v>
      </c>
      <c r="V19" s="22">
        <f>'60years'!V21</f>
        <v>63.1</v>
      </c>
      <c r="W19" s="4">
        <f>'60years'!W21</f>
        <v>55.3</v>
      </c>
      <c r="X19" s="18">
        <f>'60years'!X21</f>
        <v>7.8</v>
      </c>
      <c r="Y19" s="4"/>
      <c r="Z19" s="61">
        <f>V19*TradeCSY!B18-Merge60_CSY!W19*TradeCSY!D18</f>
        <v>-2.0629044446332347</v>
      </c>
      <c r="AA19" s="62">
        <f t="shared" si="0"/>
        <v>-9.862904444633239</v>
      </c>
      <c r="AB19" s="4"/>
      <c r="AC19" s="63">
        <f t="shared" si="1"/>
        <v>1.0371681380113424</v>
      </c>
      <c r="AD19" s="6">
        <f t="shared" si="2"/>
        <v>0.87289357602120798</v>
      </c>
      <c r="AE19" s="6">
        <f t="shared" si="3"/>
        <v>1.1740719573833327</v>
      </c>
      <c r="AF19" s="6">
        <f t="shared" si="16"/>
        <v>0.74347536412217496</v>
      </c>
      <c r="AG19" s="36">
        <f t="shared" si="4"/>
        <v>165.56657634532496</v>
      </c>
      <c r="AH19" s="5">
        <f t="shared" si="5"/>
        <v>75.260038783347142</v>
      </c>
      <c r="AI19" s="5">
        <f t="shared" si="17"/>
        <v>75.49636821700345</v>
      </c>
      <c r="AJ19" s="5">
        <f t="shared" si="6"/>
        <v>-0.23632943365631026</v>
      </c>
      <c r="AK19" s="5">
        <f t="shared" si="7"/>
        <v>90.306537561977819</v>
      </c>
      <c r="AL19" s="5">
        <f t="shared" si="18"/>
        <v>45.280408087255005</v>
      </c>
      <c r="AM19" s="5">
        <f t="shared" si="19"/>
        <v>33.755375543186169</v>
      </c>
      <c r="AN19" s="5">
        <f t="shared" si="8"/>
        <v>-0.84005962178117288</v>
      </c>
      <c r="AO19" s="5">
        <f>(AK19+AH19)*Defense!B16</f>
        <v>10.430694309755472</v>
      </c>
      <c r="AP19" s="41">
        <f t="shared" si="9"/>
        <v>286.7</v>
      </c>
      <c r="AQ19" s="42">
        <f t="shared" si="10"/>
        <v>233.96</v>
      </c>
      <c r="AR19" s="42">
        <f t="shared" si="11"/>
        <v>52.74</v>
      </c>
      <c r="AS19" s="36">
        <f>Capital!C18</f>
        <v>143.97401423293937</v>
      </c>
      <c r="AT19" s="5">
        <f>Capital!D18</f>
        <v>26.42899058731388</v>
      </c>
      <c r="AU19" s="5">
        <f>Capital!E18</f>
        <v>117.54502364562549</v>
      </c>
      <c r="AV19" s="41">
        <f t="shared" si="12"/>
        <v>334.4761929667265</v>
      </c>
      <c r="AW19" s="42">
        <f t="shared" si="13"/>
        <v>272.94750647539354</v>
      </c>
      <c r="AX19" s="64">
        <f t="shared" si="14"/>
        <v>61.528686491332948</v>
      </c>
      <c r="AZ19" s="36">
        <f t="shared" si="20"/>
        <v>165.56657634532496</v>
      </c>
      <c r="BA19" s="5">
        <f t="shared" si="21"/>
        <v>75.260038783347142</v>
      </c>
      <c r="BB19" s="5">
        <f t="shared" si="22"/>
        <v>75.49636821700345</v>
      </c>
      <c r="BC19" s="5">
        <f t="shared" si="23"/>
        <v>-0.23632943365631026</v>
      </c>
      <c r="BD19" s="5">
        <f t="shared" si="24"/>
        <v>90.306537561977819</v>
      </c>
      <c r="BE19" s="5">
        <f>BE$29/ConsNonAg!Q$28*ConsNonAg!Q18</f>
        <v>51.248370781873682</v>
      </c>
      <c r="BF19" s="5">
        <f t="shared" si="15"/>
        <v>27.787412848567492</v>
      </c>
      <c r="BG19" s="5">
        <f t="shared" si="25"/>
        <v>-0.84005962178117288</v>
      </c>
      <c r="BH19" s="58">
        <f t="shared" si="26"/>
        <v>10.430694309755472</v>
      </c>
    </row>
    <row r="20" spans="1:62">
      <c r="A20" s="17">
        <f>'60years'!A22</f>
        <v>1966</v>
      </c>
      <c r="B20" s="22">
        <f>'60years'!B22</f>
        <v>74542</v>
      </c>
      <c r="C20" s="41">
        <f>'60years'!C22</f>
        <v>29805</v>
      </c>
      <c r="D20" s="42">
        <f>'60years'!D22</f>
        <v>24297</v>
      </c>
      <c r="E20" s="42">
        <f>'60years'!E22</f>
        <v>2600</v>
      </c>
      <c r="F20" s="42">
        <f>'60years'!F22</f>
        <v>2908</v>
      </c>
      <c r="G20" s="36">
        <f>'60years'!G22</f>
        <v>1873.0786134522659</v>
      </c>
      <c r="H20" s="5">
        <f>'60years'!H22</f>
        <v>708.49838548933633</v>
      </c>
      <c r="I20" s="5">
        <f>'60years'!I22</f>
        <v>709.5</v>
      </c>
      <c r="J20" s="5">
        <f>'60years'!J22</f>
        <v>455.08022796292971</v>
      </c>
      <c r="K20" s="36">
        <f>'60years'!K22</f>
        <v>237.07412430378929</v>
      </c>
      <c r="L20" s="5">
        <f>'60years'!L22</f>
        <v>133.62222517663213</v>
      </c>
      <c r="M20" s="5">
        <f>'60years'!M22</f>
        <v>563.96957496264315</v>
      </c>
      <c r="N20" s="5">
        <f>'60years'!N22</f>
        <v>204.1138471251063</v>
      </c>
      <c r="O20" s="36">
        <f>'60years'!O22</f>
        <v>1251.3</v>
      </c>
      <c r="P20" s="5">
        <f>'60years'!P22</f>
        <v>1021.1</v>
      </c>
      <c r="Q20" s="5">
        <f>'60years'!Q22</f>
        <v>230.19999999999993</v>
      </c>
      <c r="R20" s="5">
        <f>'60years'!R22</f>
        <v>569.79999999999995</v>
      </c>
      <c r="S20" s="5">
        <f>'60years'!S22</f>
        <v>406.8</v>
      </c>
      <c r="T20" s="5">
        <f>'60years'!T22</f>
        <v>162.99999999999994</v>
      </c>
      <c r="U20" s="5">
        <f>'60years'!U22</f>
        <v>6.2</v>
      </c>
      <c r="V20" s="22">
        <f>'60years'!V22</f>
        <v>66</v>
      </c>
      <c r="W20" s="4">
        <f>'60years'!W22</f>
        <v>61.1</v>
      </c>
      <c r="X20" s="18">
        <f>'60years'!X22</f>
        <v>4.9000000000000004</v>
      </c>
      <c r="Y20" s="4"/>
      <c r="Z20" s="61">
        <f>V20*TradeCSY!B19-Merge60_CSY!W20*TradeCSY!D19</f>
        <v>-3.060106766205184</v>
      </c>
      <c r="AA20" s="62">
        <f t="shared" si="0"/>
        <v>-7.9601067662051825</v>
      </c>
      <c r="AB20" s="4"/>
      <c r="AC20" s="63">
        <f t="shared" si="1"/>
        <v>1.0216933875730307</v>
      </c>
      <c r="AD20" s="6">
        <f t="shared" si="2"/>
        <v>0.87795528975372572</v>
      </c>
      <c r="AE20" s="6">
        <f t="shared" si="3"/>
        <v>1.1347133360408403</v>
      </c>
      <c r="AF20" s="6">
        <f t="shared" si="16"/>
        <v>0.77372430716027696</v>
      </c>
      <c r="AG20" s="36">
        <f t="shared" si="4"/>
        <v>183.33079534767745</v>
      </c>
      <c r="AH20" s="5">
        <f t="shared" si="5"/>
        <v>80.6986863406309</v>
      </c>
      <c r="AI20" s="5">
        <f t="shared" si="17"/>
        <v>81.047235612093644</v>
      </c>
      <c r="AJ20" s="5">
        <f t="shared" si="6"/>
        <v>-0.34854927146273823</v>
      </c>
      <c r="AK20" s="5">
        <f t="shared" si="7"/>
        <v>102.63210900704655</v>
      </c>
      <c r="AL20" s="5">
        <f t="shared" si="18"/>
        <v>50.381179291013453</v>
      </c>
      <c r="AM20" s="5">
        <f t="shared" si="19"/>
        <v>39.816250643094421</v>
      </c>
      <c r="AN20" s="5">
        <f t="shared" si="8"/>
        <v>-0.70150817068732185</v>
      </c>
      <c r="AO20" s="5">
        <f>(AK20+AH20)*Defense!B17</f>
        <v>11.733170902251358</v>
      </c>
      <c r="AP20" s="41">
        <f t="shared" si="9"/>
        <v>298.05</v>
      </c>
      <c r="AQ20" s="42">
        <f t="shared" si="10"/>
        <v>242.97</v>
      </c>
      <c r="AR20" s="42">
        <f t="shared" si="11"/>
        <v>55.08</v>
      </c>
      <c r="AS20" s="36">
        <f>Capital!C19</f>
        <v>164.56272636985989</v>
      </c>
      <c r="AT20" s="5">
        <f>Capital!D19</f>
        <v>28.606342189615777</v>
      </c>
      <c r="AU20" s="5">
        <f>Capital!E19</f>
        <v>135.9563841802441</v>
      </c>
      <c r="AV20" s="41">
        <f t="shared" si="12"/>
        <v>347.71757695756133</v>
      </c>
      <c r="AW20" s="42">
        <f t="shared" si="13"/>
        <v>283.45894874476994</v>
      </c>
      <c r="AX20" s="64">
        <f t="shared" si="14"/>
        <v>64.258628212791407</v>
      </c>
      <c r="AZ20" s="36">
        <f t="shared" si="20"/>
        <v>183.33079534767745</v>
      </c>
      <c r="BA20" s="5">
        <f t="shared" si="21"/>
        <v>80.6986863406309</v>
      </c>
      <c r="BB20" s="5">
        <f t="shared" si="22"/>
        <v>81.047235612093644</v>
      </c>
      <c r="BC20" s="5">
        <f t="shared" si="23"/>
        <v>-0.34854927146273823</v>
      </c>
      <c r="BD20" s="5">
        <f t="shared" si="24"/>
        <v>102.63210900704655</v>
      </c>
      <c r="BE20" s="5">
        <f>BE$29/ConsNonAg!Q$28*ConsNonAg!Q19</f>
        <v>56.065674989454571</v>
      </c>
      <c r="BF20" s="5">
        <f t="shared" si="15"/>
        <v>34.131754944653302</v>
      </c>
      <c r="BG20" s="5">
        <f t="shared" si="25"/>
        <v>-0.70150817068732185</v>
      </c>
      <c r="BH20" s="58">
        <f t="shared" si="26"/>
        <v>11.733170902251358</v>
      </c>
    </row>
    <row r="21" spans="1:62">
      <c r="A21" s="17">
        <f>'60years'!A23</f>
        <v>1967</v>
      </c>
      <c r="B21" s="22">
        <f>'60years'!B23</f>
        <v>76368</v>
      </c>
      <c r="C21" s="41">
        <f>'60years'!C23</f>
        <v>30814</v>
      </c>
      <c r="D21" s="42">
        <f>'60years'!D23</f>
        <v>25165</v>
      </c>
      <c r="E21" s="42">
        <f>'60years'!E23</f>
        <v>2661</v>
      </c>
      <c r="F21" s="42">
        <f>'60years'!F23</f>
        <v>2988</v>
      </c>
      <c r="G21" s="36">
        <f>'60years'!G23</f>
        <v>1780.2814889590097</v>
      </c>
      <c r="H21" s="5">
        <f>'60years'!H23</f>
        <v>720.60601953358582</v>
      </c>
      <c r="I21" s="5">
        <f>'60years'!I23</f>
        <v>602.79999999999995</v>
      </c>
      <c r="J21" s="5">
        <f>'60years'!J23</f>
        <v>456.87546942542394</v>
      </c>
      <c r="K21" s="36">
        <f>'60years'!K23</f>
        <v>223.5561650193705</v>
      </c>
      <c r="L21" s="5">
        <f>'60years'!L23</f>
        <v>136.14710451022376</v>
      </c>
      <c r="M21" s="5">
        <f>'60years'!M23</f>
        <v>483.33610050362506</v>
      </c>
      <c r="N21" s="5">
        <f>'60years'!N23</f>
        <v>205.19465956244832</v>
      </c>
      <c r="O21" s="36">
        <f>'60years'!O23</f>
        <v>1275.7</v>
      </c>
      <c r="P21" s="5">
        <f>'60years'!P23</f>
        <v>1081.5</v>
      </c>
      <c r="Q21" s="5">
        <f>'60years'!Q23</f>
        <v>194.20000000000005</v>
      </c>
      <c r="R21" s="5">
        <f>'60years'!R23</f>
        <v>425.7</v>
      </c>
      <c r="S21" s="5">
        <f>'60years'!S23</f>
        <v>323.7</v>
      </c>
      <c r="T21" s="5">
        <f>'60years'!T23</f>
        <v>102</v>
      </c>
      <c r="U21" s="5">
        <f>'60years'!U23</f>
        <v>6.3</v>
      </c>
      <c r="V21" s="22">
        <f>'60years'!V23</f>
        <v>58.8</v>
      </c>
      <c r="W21" s="4">
        <f>'60years'!W23</f>
        <v>53.4</v>
      </c>
      <c r="X21" s="18">
        <f>'60years'!X23</f>
        <v>5.4</v>
      </c>
      <c r="Y21" s="4"/>
      <c r="Z21" s="61">
        <f>V21*TradeCSY!B20-Merge60_CSY!W21*TradeCSY!D20</f>
        <v>-2.2716494750732714</v>
      </c>
      <c r="AA21" s="62">
        <f t="shared" si="0"/>
        <v>-7.67164947507327</v>
      </c>
      <c r="AB21" s="4"/>
      <c r="AC21" s="63">
        <f t="shared" si="1"/>
        <v>1.0297949498950323</v>
      </c>
      <c r="AD21" s="6">
        <f t="shared" si="2"/>
        <v>0.87639867191067444</v>
      </c>
      <c r="AE21" s="6">
        <f t="shared" si="3"/>
        <v>1.1689263896635131</v>
      </c>
      <c r="AF21" s="6">
        <f t="shared" si="16"/>
        <v>0.74974667323829891</v>
      </c>
      <c r="AG21" s="36">
        <f t="shared" si="4"/>
        <v>172.87727902923541</v>
      </c>
      <c r="AH21" s="5">
        <f t="shared" si="5"/>
        <v>82.223540795944103</v>
      </c>
      <c r="AI21" s="5">
        <f t="shared" si="17"/>
        <v>82.48274354782879</v>
      </c>
      <c r="AJ21" s="5">
        <f t="shared" si="6"/>
        <v>-0.25920275188468167</v>
      </c>
      <c r="AK21" s="5">
        <f t="shared" si="7"/>
        <v>90.653738233291307</v>
      </c>
      <c r="AL21" s="5">
        <f t="shared" si="18"/>
        <v>48.882869675643221</v>
      </c>
      <c r="AM21" s="5">
        <f t="shared" si="19"/>
        <v>31.433442165646177</v>
      </c>
      <c r="AN21" s="5">
        <f t="shared" si="8"/>
        <v>-0.65629876636471773</v>
      </c>
      <c r="AO21" s="5">
        <f>(AK21+AH21)*Defense!B18</f>
        <v>9.6811276256371848</v>
      </c>
      <c r="AP21" s="41">
        <f t="shared" si="9"/>
        <v>308.14</v>
      </c>
      <c r="AQ21" s="42">
        <f t="shared" si="10"/>
        <v>251.65</v>
      </c>
      <c r="AR21" s="42">
        <f t="shared" si="11"/>
        <v>56.49</v>
      </c>
      <c r="AS21" s="36">
        <f>Capital!C20</f>
        <v>190.46634499602018</v>
      </c>
      <c r="AT21" s="5">
        <f>Capital!D20</f>
        <v>31.387414070244205</v>
      </c>
      <c r="AU21" s="5">
        <f>Capital!E20</f>
        <v>159.07893092577598</v>
      </c>
      <c r="AV21" s="41">
        <f t="shared" si="12"/>
        <v>359.48899232914926</v>
      </c>
      <c r="AW21" s="42">
        <f t="shared" si="13"/>
        <v>293.58539923291499</v>
      </c>
      <c r="AX21" s="64">
        <f t="shared" si="14"/>
        <v>65.903593096234317</v>
      </c>
      <c r="AZ21" s="36">
        <f t="shared" si="20"/>
        <v>172.87727902923541</v>
      </c>
      <c r="BA21" s="5">
        <f t="shared" si="21"/>
        <v>82.223540795944103</v>
      </c>
      <c r="BB21" s="5">
        <f t="shared" si="22"/>
        <v>82.48274354782879</v>
      </c>
      <c r="BC21" s="5">
        <f t="shared" si="23"/>
        <v>-0.25920275188468167</v>
      </c>
      <c r="BD21" s="5">
        <f t="shared" si="24"/>
        <v>90.653738233291307</v>
      </c>
      <c r="BE21" s="5">
        <f>BE$29/ConsNonAg!Q$28*ConsNonAg!Q20</f>
        <v>56.883648205777661</v>
      </c>
      <c r="BF21" s="5">
        <f t="shared" si="15"/>
        <v>23.432663635511744</v>
      </c>
      <c r="BG21" s="5">
        <f t="shared" si="25"/>
        <v>-0.65629876636471773</v>
      </c>
      <c r="BH21" s="58">
        <f t="shared" si="26"/>
        <v>9.6811276256371848</v>
      </c>
    </row>
    <row r="22" spans="1:62">
      <c r="A22" s="17">
        <f>'60years'!A24</f>
        <v>1968</v>
      </c>
      <c r="B22" s="22">
        <f>'60years'!B24</f>
        <v>78534</v>
      </c>
      <c r="C22" s="41">
        <f>'60years'!C24</f>
        <v>31915</v>
      </c>
      <c r="D22" s="42">
        <f>'60years'!D24</f>
        <v>26063</v>
      </c>
      <c r="E22" s="42">
        <f>'60years'!E24</f>
        <v>2743</v>
      </c>
      <c r="F22" s="42">
        <f>'60years'!F24</f>
        <v>3109</v>
      </c>
      <c r="G22" s="36">
        <f>'60years'!G24</f>
        <v>1730.164346321726</v>
      </c>
      <c r="H22" s="5">
        <f>'60years'!H24</f>
        <v>732.81455052820411</v>
      </c>
      <c r="I22" s="5">
        <f>'60years'!I24</f>
        <v>537.29999999999995</v>
      </c>
      <c r="J22" s="5">
        <f>'60years'!J24</f>
        <v>460.04979579352198</v>
      </c>
      <c r="K22" s="36">
        <f>'60years'!K24</f>
        <v>214.42280244250563</v>
      </c>
      <c r="L22" s="5">
        <f>'60years'!L24</f>
        <v>133.95887575444436</v>
      </c>
      <c r="M22" s="5">
        <f>'60years'!M24</f>
        <v>438.72046045713665</v>
      </c>
      <c r="N22" s="5">
        <f>'60years'!N24</f>
        <v>206.54584087742313</v>
      </c>
      <c r="O22" s="36">
        <f>'60years'!O24</f>
        <v>1269.0999999999999</v>
      </c>
      <c r="P22" s="5">
        <f>'60years'!P24</f>
        <v>1076.5999999999999</v>
      </c>
      <c r="Q22" s="5">
        <f>'60years'!Q24</f>
        <v>192.5</v>
      </c>
      <c r="R22" s="5">
        <f>'60years'!R24</f>
        <v>432.2</v>
      </c>
      <c r="S22" s="5">
        <f>'60years'!S24</f>
        <v>300.2</v>
      </c>
      <c r="T22" s="5">
        <f>'60years'!T24</f>
        <v>132</v>
      </c>
      <c r="U22" s="5">
        <f>'60years'!U24</f>
        <v>7.4</v>
      </c>
      <c r="V22" s="22">
        <f>'60years'!V24</f>
        <v>57.6</v>
      </c>
      <c r="W22" s="4">
        <f>'60years'!W24</f>
        <v>50.9</v>
      </c>
      <c r="X22" s="18">
        <f>'60years'!X24</f>
        <v>6.7</v>
      </c>
      <c r="Y22" s="4"/>
      <c r="Z22" s="61">
        <f>V22*TradeCSY!B21-Merge60_CSY!W22*TradeCSY!D21</f>
        <v>-1.6776653286751113</v>
      </c>
      <c r="AA22" s="62">
        <f t="shared" si="0"/>
        <v>-8.3776653286751142</v>
      </c>
      <c r="AB22" s="4"/>
      <c r="AC22" s="63">
        <f t="shared" si="1"/>
        <v>1.0434343337909602</v>
      </c>
      <c r="AD22" s="6">
        <f t="shared" si="2"/>
        <v>0.90580523114458433</v>
      </c>
      <c r="AE22" s="6">
        <f t="shared" si="3"/>
        <v>1.1745632402543131</v>
      </c>
      <c r="AF22" s="6">
        <f t="shared" si="16"/>
        <v>0.77118472645922576</v>
      </c>
      <c r="AG22" s="36">
        <f t="shared" si="4"/>
        <v>165.81439677528803</v>
      </c>
      <c r="AH22" s="5">
        <f t="shared" si="5"/>
        <v>80.902000268006006</v>
      </c>
      <c r="AI22" s="5">
        <f t="shared" si="17"/>
        <v>81.087212857974734</v>
      </c>
      <c r="AJ22" s="5">
        <f t="shared" si="6"/>
        <v>-0.18521258996872836</v>
      </c>
      <c r="AK22" s="5">
        <f t="shared" si="7"/>
        <v>84.912396507282025</v>
      </c>
      <c r="AL22" s="5">
        <f t="shared" si="18"/>
        <v>44.319196196968726</v>
      </c>
      <c r="AM22" s="5">
        <f t="shared" si="19"/>
        <v>28.770377807037114</v>
      </c>
      <c r="AN22" s="5">
        <f t="shared" si="8"/>
        <v>-0.71325791933188765</v>
      </c>
      <c r="AO22" s="5">
        <f>(AK22+AH22)*Defense!B19</f>
        <v>11.109564583944298</v>
      </c>
      <c r="AP22" s="41">
        <f t="shared" si="9"/>
        <v>319.14999999999998</v>
      </c>
      <c r="AQ22" s="42">
        <f t="shared" si="10"/>
        <v>260.63</v>
      </c>
      <c r="AR22" s="42">
        <f t="shared" si="11"/>
        <v>58.52</v>
      </c>
      <c r="AS22" s="36">
        <f>Capital!C21</f>
        <v>204.37569138173092</v>
      </c>
      <c r="AT22" s="5">
        <f>Capital!D21</f>
        <v>33.228423106975484</v>
      </c>
      <c r="AU22" s="5">
        <f>Capital!E21</f>
        <v>171.14726827475545</v>
      </c>
      <c r="AV22" s="41">
        <f t="shared" si="12"/>
        <v>372.33371812113973</v>
      </c>
      <c r="AW22" s="42">
        <f t="shared" si="13"/>
        <v>304.06184224945213</v>
      </c>
      <c r="AX22" s="64">
        <f t="shared" si="14"/>
        <v>68.271875871687598</v>
      </c>
      <c r="AZ22" s="36">
        <f t="shared" si="20"/>
        <v>165.81439677528803</v>
      </c>
      <c r="BA22" s="5">
        <f t="shared" si="21"/>
        <v>80.902000268006006</v>
      </c>
      <c r="BB22" s="5">
        <f t="shared" si="22"/>
        <v>81.087212857974734</v>
      </c>
      <c r="BC22" s="5">
        <f t="shared" si="23"/>
        <v>-0.18521258996872836</v>
      </c>
      <c r="BD22" s="5">
        <f t="shared" si="24"/>
        <v>84.912396507282025</v>
      </c>
      <c r="BE22" s="5">
        <f>BE$29/ConsNonAg!Q$28*ConsNonAg!Q21</f>
        <v>57.100087006152577</v>
      </c>
      <c r="BF22" s="5">
        <f t="shared" si="15"/>
        <v>15.989486997853263</v>
      </c>
      <c r="BG22" s="5">
        <f t="shared" si="25"/>
        <v>-0.71325791933188765</v>
      </c>
      <c r="BH22" s="58">
        <f t="shared" si="26"/>
        <v>11.109564583944298</v>
      </c>
    </row>
    <row r="23" spans="1:62">
      <c r="A23" s="17">
        <f>'60years'!A25</f>
        <v>1969</v>
      </c>
      <c r="B23" s="22">
        <f>'60years'!B25</f>
        <v>80671</v>
      </c>
      <c r="C23" s="41">
        <f>'60years'!C25</f>
        <v>33225</v>
      </c>
      <c r="D23" s="42">
        <f>'60years'!D25</f>
        <v>27117</v>
      </c>
      <c r="E23" s="42">
        <f>'60years'!E25</f>
        <v>3030</v>
      </c>
      <c r="F23" s="42">
        <f>'60years'!F25</f>
        <v>3078</v>
      </c>
      <c r="G23" s="36">
        <f>'60years'!G25</f>
        <v>1945.7811181016841</v>
      </c>
      <c r="H23" s="5">
        <f>'60years'!H25</f>
        <v>742.80334861470999</v>
      </c>
      <c r="I23" s="5">
        <f>'60years'!I25</f>
        <v>689.1</v>
      </c>
      <c r="J23" s="5">
        <f>'60years'!J25</f>
        <v>513.87776948697399</v>
      </c>
      <c r="K23" s="36">
        <f>'60years'!K25</f>
        <v>250.63578388761903</v>
      </c>
      <c r="L23" s="5">
        <f>'60years'!L25</f>
        <v>135.08104434715176</v>
      </c>
      <c r="M23" s="5">
        <f>'60years'!M25</f>
        <v>584.03112144188049</v>
      </c>
      <c r="N23" s="5">
        <f>'60years'!N25</f>
        <v>234.3140021096643</v>
      </c>
      <c r="O23" s="36">
        <f>'60years'!O25</f>
        <v>1359.4</v>
      </c>
      <c r="P23" s="5">
        <f>'60years'!P25</f>
        <v>1127.7</v>
      </c>
      <c r="Q23" s="5">
        <f>'60years'!Q25</f>
        <v>231.70000000000005</v>
      </c>
      <c r="R23" s="5">
        <f>'60years'!R25</f>
        <v>485.9</v>
      </c>
      <c r="S23" s="5">
        <f>'60years'!S25</f>
        <v>406.9</v>
      </c>
      <c r="T23" s="5">
        <f>'60years'!T25</f>
        <v>79</v>
      </c>
      <c r="U23" s="5">
        <f>'60years'!U25</f>
        <v>12.4</v>
      </c>
      <c r="V23" s="22">
        <f>'60years'!V25</f>
        <v>59.8</v>
      </c>
      <c r="W23" s="4">
        <f>'60years'!W25</f>
        <v>47.2</v>
      </c>
      <c r="X23" s="18">
        <f>'60years'!X25</f>
        <v>12.6</v>
      </c>
      <c r="Y23" s="4"/>
      <c r="Z23" s="61">
        <f>V23*TradeCSY!B22-Merge60_CSY!W23*TradeCSY!D22</f>
        <v>2.0493764408175963E-2</v>
      </c>
      <c r="AA23" s="62">
        <f t="shared" si="0"/>
        <v>-12.579506235591818</v>
      </c>
      <c r="AB23" s="4"/>
      <c r="AC23" s="63">
        <f t="shared" si="1"/>
        <v>1.0039212355710414</v>
      </c>
      <c r="AD23" s="6">
        <f t="shared" si="2"/>
        <v>0.91052458758171029</v>
      </c>
      <c r="AE23" s="6">
        <f t="shared" si="3"/>
        <v>1.0718059551913908</v>
      </c>
      <c r="AF23" s="6">
        <f t="shared" si="16"/>
        <v>0.84952372504696461</v>
      </c>
      <c r="AG23" s="36">
        <f t="shared" si="4"/>
        <v>193.81810536111453</v>
      </c>
      <c r="AH23" s="5">
        <f t="shared" si="5"/>
        <v>81.579713359256317</v>
      </c>
      <c r="AI23" s="5">
        <f t="shared" si="17"/>
        <v>81.577462594731372</v>
      </c>
      <c r="AJ23" s="5">
        <f t="shared" si="6"/>
        <v>2.2507645249433593E-3</v>
      </c>
      <c r="AK23" s="5">
        <f t="shared" si="7"/>
        <v>112.23839200185822</v>
      </c>
      <c r="AL23" s="5">
        <f t="shared" si="18"/>
        <v>55.415837798225795</v>
      </c>
      <c r="AM23" s="5">
        <f t="shared" si="19"/>
        <v>40.531068133901037</v>
      </c>
      <c r="AN23" s="5">
        <f t="shared" si="8"/>
        <v>-1.1736738515644387</v>
      </c>
      <c r="AO23" s="5">
        <f>(AK23+AH23)*Defense!B20</f>
        <v>15.117812218166934</v>
      </c>
      <c r="AP23" s="41">
        <f t="shared" si="9"/>
        <v>332.25</v>
      </c>
      <c r="AQ23" s="42">
        <f t="shared" si="10"/>
        <v>271.17</v>
      </c>
      <c r="AR23" s="42">
        <f t="shared" si="11"/>
        <v>61.08</v>
      </c>
      <c r="AS23" s="36">
        <f>Capital!C22</f>
        <v>210.14639381049761</v>
      </c>
      <c r="AT23" s="5">
        <f>Capital!D22</f>
        <v>33.198286386712205</v>
      </c>
      <c r="AU23" s="5">
        <f>Capital!E22</f>
        <v>176.94810742378542</v>
      </c>
      <c r="AV23" s="41">
        <f t="shared" si="12"/>
        <v>387.61672519426185</v>
      </c>
      <c r="AW23" s="42">
        <f t="shared" si="13"/>
        <v>316.35824641362831</v>
      </c>
      <c r="AX23" s="64">
        <f t="shared" si="14"/>
        <v>71.258478780633595</v>
      </c>
      <c r="AZ23" s="36">
        <f t="shared" si="20"/>
        <v>193.81810536111453</v>
      </c>
      <c r="BA23" s="5">
        <f t="shared" si="21"/>
        <v>81.579713359256317</v>
      </c>
      <c r="BB23" s="5">
        <f t="shared" si="22"/>
        <v>81.577462594731372</v>
      </c>
      <c r="BC23" s="5">
        <f t="shared" si="23"/>
        <v>2.2507645249433593E-3</v>
      </c>
      <c r="BD23" s="5">
        <f t="shared" si="24"/>
        <v>112.23839200185822</v>
      </c>
      <c r="BE23" s="5">
        <f>BE$29/ConsNonAg!Q$28*ConsNonAg!Q22</f>
        <v>64.898639076832893</v>
      </c>
      <c r="BF23" s="5">
        <f t="shared" si="15"/>
        <v>31.048266855293953</v>
      </c>
      <c r="BG23" s="5">
        <f t="shared" si="25"/>
        <v>-1.1736738515644387</v>
      </c>
      <c r="BH23" s="58">
        <f t="shared" si="26"/>
        <v>15.117812218166934</v>
      </c>
    </row>
    <row r="24" spans="1:62">
      <c r="A24" s="17">
        <f>'60years'!A26</f>
        <v>1970</v>
      </c>
      <c r="B24" s="22">
        <f>'60years'!B26</f>
        <v>82992</v>
      </c>
      <c r="C24" s="41">
        <f>'60years'!C26</f>
        <v>34432</v>
      </c>
      <c r="D24" s="42">
        <f>'60years'!D26</f>
        <v>27811</v>
      </c>
      <c r="E24" s="42">
        <f>'60years'!E26</f>
        <v>3518</v>
      </c>
      <c r="F24" s="42">
        <f>'60years'!F26</f>
        <v>3103</v>
      </c>
      <c r="G24" s="36">
        <f>'60years'!G26</f>
        <v>2261.3240647323119</v>
      </c>
      <c r="H24" s="5">
        <f>'60years'!H26</f>
        <v>800.41550727526408</v>
      </c>
      <c r="I24" s="5">
        <f>'60years'!I26</f>
        <v>912.2</v>
      </c>
      <c r="J24" s="5">
        <f>'60years'!J26</f>
        <v>548.70855745704762</v>
      </c>
      <c r="K24" s="36">
        <f>'60years'!K26</f>
        <v>299.25965036541015</v>
      </c>
      <c r="L24" s="5">
        <f>'60years'!L26</f>
        <v>145.48915804451278</v>
      </c>
      <c r="M24" s="5">
        <f>'60years'!M26</f>
        <v>787.28014832032784</v>
      </c>
      <c r="N24" s="5">
        <f>'60years'!N26</f>
        <v>250.86795361678941</v>
      </c>
      <c r="O24" s="36">
        <f>'60years'!O26</f>
        <v>1459.7</v>
      </c>
      <c r="P24" s="5">
        <f>'60years'!P26</f>
        <v>1206.8</v>
      </c>
      <c r="Q24" s="5">
        <f>'60years'!Q26</f>
        <v>252.90000000000009</v>
      </c>
      <c r="R24" s="5">
        <f>'60years'!R26</f>
        <v>744.9</v>
      </c>
      <c r="S24" s="5">
        <f>'60years'!S26</f>
        <v>545.9</v>
      </c>
      <c r="T24" s="5">
        <f>'60years'!T26</f>
        <v>199</v>
      </c>
      <c r="U24" s="5">
        <f>'60years'!U26</f>
        <v>2.4</v>
      </c>
      <c r="V24" s="22">
        <f>'60years'!V26</f>
        <v>56.8</v>
      </c>
      <c r="W24" s="4">
        <f>'60years'!W26</f>
        <v>56.1</v>
      </c>
      <c r="X24" s="18">
        <f>'60years'!X26</f>
        <v>0.7</v>
      </c>
      <c r="Y24" s="4"/>
      <c r="Z24" s="61">
        <f>V24*TradeCSY!B23-Merge60_CSY!W24*TradeCSY!D23</f>
        <v>-3.1022672979093642</v>
      </c>
      <c r="AA24" s="62">
        <f t="shared" si="0"/>
        <v>-3.8022672979093599</v>
      </c>
      <c r="AB24" s="4"/>
      <c r="AC24" s="63">
        <f t="shared" si="1"/>
        <v>0.97715480686389111</v>
      </c>
      <c r="AD24" s="6">
        <f t="shared" si="2"/>
        <v>0.91095536530263765</v>
      </c>
      <c r="AE24" s="6">
        <f t="shared" si="3"/>
        <v>1.0176737647922289</v>
      </c>
      <c r="AF24" s="6">
        <f t="shared" si="16"/>
        <v>0.89513496055253106</v>
      </c>
      <c r="AG24" s="36">
        <f t="shared" si="4"/>
        <v>231.41922332551081</v>
      </c>
      <c r="AH24" s="5">
        <f t="shared" si="5"/>
        <v>87.865502280602968</v>
      </c>
      <c r="AI24" s="5">
        <f t="shared" si="17"/>
        <v>88.206053246772285</v>
      </c>
      <c r="AJ24" s="5">
        <f t="shared" si="6"/>
        <v>-0.34055096616931713</v>
      </c>
      <c r="AK24" s="5">
        <f t="shared" si="7"/>
        <v>143.55372104490783</v>
      </c>
      <c r="AL24" s="5">
        <f t="shared" si="18"/>
        <v>69.957380035896776</v>
      </c>
      <c r="AM24" s="5">
        <f t="shared" si="19"/>
        <v>55.866275861859314</v>
      </c>
      <c r="AN24" s="5">
        <f t="shared" si="8"/>
        <v>-0.37362339773843356</v>
      </c>
      <c r="AO24" s="5">
        <f>(AK24+AH24)*Defense!B21</f>
        <v>17.35644174941331</v>
      </c>
      <c r="AP24" s="41">
        <f t="shared" si="9"/>
        <v>344.32</v>
      </c>
      <c r="AQ24" s="42">
        <f t="shared" si="10"/>
        <v>278.11</v>
      </c>
      <c r="AR24" s="42">
        <f t="shared" si="11"/>
        <v>66.209999999999994</v>
      </c>
      <c r="AS24" s="36">
        <f>Capital!C23</f>
        <v>230.68734097526666</v>
      </c>
      <c r="AT24" s="5">
        <f>Capital!D23</f>
        <v>34.767493524543951</v>
      </c>
      <c r="AU24" s="5">
        <f>Capital!E23</f>
        <v>195.91984745072273</v>
      </c>
      <c r="AV24" s="41">
        <f t="shared" si="12"/>
        <v>401.69809125323775</v>
      </c>
      <c r="AW24" s="42">
        <f t="shared" si="13"/>
        <v>324.45474023709909</v>
      </c>
      <c r="AX24" s="64">
        <f t="shared" si="14"/>
        <v>77.243351016138675</v>
      </c>
      <c r="AZ24" s="36">
        <f t="shared" si="20"/>
        <v>231.41922332551081</v>
      </c>
      <c r="BA24" s="5">
        <f t="shared" si="21"/>
        <v>87.865502280602968</v>
      </c>
      <c r="BB24" s="5">
        <f t="shared" si="22"/>
        <v>88.206053246772285</v>
      </c>
      <c r="BC24" s="5">
        <f t="shared" si="23"/>
        <v>-0.34055096616931713</v>
      </c>
      <c r="BD24" s="5">
        <f t="shared" si="24"/>
        <v>143.55372104490783</v>
      </c>
      <c r="BE24" s="5">
        <f>BE$29/ConsNonAg!Q$28*ConsNonAg!Q23</f>
        <v>70.610261432611281</v>
      </c>
      <c r="BF24" s="5">
        <f t="shared" si="15"/>
        <v>55.213394465144809</v>
      </c>
      <c r="BG24" s="5">
        <f t="shared" si="25"/>
        <v>-0.37362339773843356</v>
      </c>
      <c r="BH24" s="58">
        <f t="shared" si="26"/>
        <v>17.35644174941331</v>
      </c>
    </row>
    <row r="25" spans="1:62">
      <c r="A25" s="17">
        <f>'60years'!A27</f>
        <v>1971</v>
      </c>
      <c r="B25" s="22">
        <f>'60years'!B27</f>
        <v>85229</v>
      </c>
      <c r="C25" s="41">
        <f>'60years'!C27</f>
        <v>35620</v>
      </c>
      <c r="D25" s="42">
        <f>'60years'!D27</f>
        <v>28397</v>
      </c>
      <c r="E25" s="42">
        <f>'60years'!E27</f>
        <v>3990</v>
      </c>
      <c r="F25" s="42">
        <f>'60years'!F27</f>
        <v>3233</v>
      </c>
      <c r="G25" s="36">
        <f>'60years'!G27</f>
        <v>2435.2567603417583</v>
      </c>
      <c r="H25" s="5">
        <f>'60years'!H27</f>
        <v>833.71150089695027</v>
      </c>
      <c r="I25" s="5">
        <f>'60years'!I27</f>
        <v>1022.8</v>
      </c>
      <c r="J25" s="5">
        <f>'60years'!J27</f>
        <v>578.74525944480797</v>
      </c>
      <c r="K25" s="36">
        <f>'60years'!K27</f>
        <v>320.35635305475898</v>
      </c>
      <c r="L25" s="5">
        <f>'60years'!L27</f>
        <v>148.24046587440142</v>
      </c>
      <c r="M25" s="5">
        <f>'60years'!M27</f>
        <v>884.16819553052937</v>
      </c>
      <c r="N25" s="5">
        <f>'60years'!N27</f>
        <v>265.47188094475922</v>
      </c>
      <c r="O25" s="36">
        <f>'60years'!O27</f>
        <v>1557.9</v>
      </c>
      <c r="P25" s="5">
        <f>'60years'!P27</f>
        <v>1262</v>
      </c>
      <c r="Q25" s="5">
        <f>'60years'!Q27</f>
        <v>295.90000000000009</v>
      </c>
      <c r="R25" s="5">
        <f>'60years'!R27</f>
        <v>819</v>
      </c>
      <c r="S25" s="5">
        <f>'60years'!S27</f>
        <v>603</v>
      </c>
      <c r="T25" s="5">
        <f>'60years'!T27</f>
        <v>216</v>
      </c>
      <c r="U25" s="5">
        <f>'60years'!U27</f>
        <v>15.6</v>
      </c>
      <c r="V25" s="22">
        <f>'60years'!V27</f>
        <v>68.5</v>
      </c>
      <c r="W25" s="4">
        <f>'60years'!W27</f>
        <v>52.4</v>
      </c>
      <c r="X25" s="18">
        <f>'60years'!X27</f>
        <v>16.100000000000001</v>
      </c>
      <c r="Y25" s="4"/>
      <c r="Z25" s="61">
        <f>V25*TradeCSY!B24-Merge60_CSY!W25*TradeCSY!D24</f>
        <v>0.64708411248676256</v>
      </c>
      <c r="AA25" s="62">
        <f t="shared" si="0"/>
        <v>-15.452915887513239</v>
      </c>
      <c r="AB25" s="4"/>
      <c r="AC25" s="63">
        <f t="shared" si="1"/>
        <v>0.98301500967643973</v>
      </c>
      <c r="AD25" s="6">
        <f t="shared" si="2"/>
        <v>0.93123921478062788</v>
      </c>
      <c r="AE25" s="6">
        <f t="shared" si="3"/>
        <v>1.0123143254339844</v>
      </c>
      <c r="AF25" s="6">
        <f t="shared" si="16"/>
        <v>0.91991112975843825</v>
      </c>
      <c r="AG25" s="36">
        <f t="shared" si="4"/>
        <v>247.73342587549354</v>
      </c>
      <c r="AH25" s="5">
        <f t="shared" si="5"/>
        <v>89.527104063519047</v>
      </c>
      <c r="AI25" s="5">
        <f t="shared" si="17"/>
        <v>89.457617716486382</v>
      </c>
      <c r="AJ25" s="5">
        <f t="shared" si="6"/>
        <v>6.948634703266833E-2</v>
      </c>
      <c r="AK25" s="5">
        <f t="shared" si="7"/>
        <v>158.20632181197448</v>
      </c>
      <c r="AL25" s="5">
        <f t="shared" si="18"/>
        <v>75.023795611026188</v>
      </c>
      <c r="AM25" s="5">
        <f t="shared" si="19"/>
        <v>61.341891432408346</v>
      </c>
      <c r="AN25" s="5">
        <f t="shared" si="8"/>
        <v>-1.5264938467494762</v>
      </c>
      <c r="AO25" s="5">
        <f>(AK25+AH25)*Defense!B22</f>
        <v>20.314140921790468</v>
      </c>
      <c r="AP25" s="41">
        <f t="shared" si="9"/>
        <v>356.2</v>
      </c>
      <c r="AQ25" s="42">
        <f t="shared" si="10"/>
        <v>283.97000000000003</v>
      </c>
      <c r="AR25" s="42">
        <f t="shared" si="11"/>
        <v>72.23</v>
      </c>
      <c r="AS25" s="36">
        <f>Capital!C24</f>
        <v>274.36636839164811</v>
      </c>
      <c r="AT25" s="5">
        <f>Capital!D24</f>
        <v>39.943952647010875</v>
      </c>
      <c r="AU25" s="5">
        <f>Capital!E24</f>
        <v>234.42241574463725</v>
      </c>
      <c r="AV25" s="41">
        <f t="shared" si="12"/>
        <v>415.5577953775653</v>
      </c>
      <c r="AW25" s="42">
        <f t="shared" si="13"/>
        <v>331.29126095835829</v>
      </c>
      <c r="AX25" s="64">
        <f t="shared" si="14"/>
        <v>84.266534419207034</v>
      </c>
      <c r="AZ25" s="36">
        <f t="shared" si="20"/>
        <v>247.73342587549354</v>
      </c>
      <c r="BA25" s="5">
        <f t="shared" si="21"/>
        <v>89.527104063519047</v>
      </c>
      <c r="BB25" s="5">
        <f t="shared" si="22"/>
        <v>89.457617716486382</v>
      </c>
      <c r="BC25" s="5">
        <f t="shared" si="23"/>
        <v>6.948634703266833E-2</v>
      </c>
      <c r="BD25" s="5">
        <f t="shared" si="24"/>
        <v>158.20632181197448</v>
      </c>
      <c r="BE25" s="5">
        <f>BE$29/ConsNonAg!Q$28*ConsNonAg!Q24</f>
        <v>74.012743888876429</v>
      </c>
      <c r="BF25" s="5">
        <f t="shared" si="15"/>
        <v>62.352943154558105</v>
      </c>
      <c r="BG25" s="5">
        <f t="shared" si="25"/>
        <v>-1.5264938467494762</v>
      </c>
      <c r="BH25" s="58">
        <f t="shared" si="26"/>
        <v>20.314140921790468</v>
      </c>
    </row>
    <row r="26" spans="1:62">
      <c r="A26" s="17">
        <f>'60years'!A28</f>
        <v>1972</v>
      </c>
      <c r="B26" s="22">
        <f>'60years'!B28</f>
        <v>87177</v>
      </c>
      <c r="C26" s="41">
        <f>'60years'!C28</f>
        <v>35854</v>
      </c>
      <c r="D26" s="42">
        <f>'60years'!D28</f>
        <v>28283</v>
      </c>
      <c r="E26" s="42">
        <f>'60years'!E28</f>
        <v>4276</v>
      </c>
      <c r="F26" s="42">
        <f>'60years'!F28</f>
        <v>3295</v>
      </c>
      <c r="G26" s="36">
        <f>'60years'!G28</f>
        <v>2530.224149001092</v>
      </c>
      <c r="H26" s="5">
        <f>'60years'!H28</f>
        <v>834.82136735100653</v>
      </c>
      <c r="I26" s="5">
        <f>'60years'!I28</f>
        <v>1084.2</v>
      </c>
      <c r="J26" s="5">
        <f>'60years'!J28</f>
        <v>611.2027816500854</v>
      </c>
      <c r="K26" s="36">
        <f>'60years'!K28</f>
        <v>332.41920320710699</v>
      </c>
      <c r="L26" s="5">
        <f>'60years'!L28</f>
        <v>146.91983811605485</v>
      </c>
      <c r="M26" s="5">
        <f>'60years'!M28</f>
        <v>943.57904800879896</v>
      </c>
      <c r="N26" s="5">
        <f>'60years'!N28</f>
        <v>279.05557347089865</v>
      </c>
      <c r="O26" s="36">
        <f>'60years'!O28</f>
        <v>1644.3</v>
      </c>
      <c r="P26" s="5">
        <f>'60years'!P28</f>
        <v>1334.2</v>
      </c>
      <c r="Q26" s="5">
        <f>'60years'!Q28</f>
        <v>310.09999999999991</v>
      </c>
      <c r="R26" s="5">
        <f>'60years'!R28</f>
        <v>791.1</v>
      </c>
      <c r="S26" s="5">
        <f>'60years'!S28</f>
        <v>622.1</v>
      </c>
      <c r="T26" s="5">
        <f>'60years'!T28</f>
        <v>169</v>
      </c>
      <c r="U26" s="5">
        <f>'60years'!U28</f>
        <v>18.399999999999999</v>
      </c>
      <c r="V26" s="22">
        <f>'60years'!V28</f>
        <v>82.9</v>
      </c>
      <c r="W26" s="4">
        <f>'60years'!W28</f>
        <v>64</v>
      </c>
      <c r="X26" s="18">
        <f>'60years'!X28</f>
        <v>18.899999999999999</v>
      </c>
      <c r="Y26" s="4"/>
      <c r="Z26" s="61">
        <f>V26*TradeCSY!B25-Merge60_CSY!W26*TradeCSY!D25</f>
        <v>0.7107015089143971</v>
      </c>
      <c r="AA26" s="62">
        <f t="shared" si="0"/>
        <v>-18.189298491085609</v>
      </c>
      <c r="AB26" s="4"/>
      <c r="AC26" s="63">
        <f t="shared" si="1"/>
        <v>0.98428671795141365</v>
      </c>
      <c r="AD26" s="6">
        <f t="shared" si="2"/>
        <v>0.94086074653344798</v>
      </c>
      <c r="AE26" s="6">
        <f t="shared" si="3"/>
        <v>1.007176973735519</v>
      </c>
      <c r="AF26" s="6">
        <f t="shared" si="16"/>
        <v>0.93415633108041507</v>
      </c>
      <c r="AG26" s="36">
        <f t="shared" si="4"/>
        <v>257.06169786251132</v>
      </c>
      <c r="AH26" s="5">
        <f t="shared" si="5"/>
        <v>88.729535207719309</v>
      </c>
      <c r="AI26" s="5">
        <f t="shared" si="17"/>
        <v>88.653997832870488</v>
      </c>
      <c r="AJ26" s="5">
        <f t="shared" si="6"/>
        <v>7.5537374848822142E-2</v>
      </c>
      <c r="AK26" s="5">
        <f t="shared" si="7"/>
        <v>168.332162654792</v>
      </c>
      <c r="AL26" s="5">
        <f t="shared" si="18"/>
        <v>84.043438268384037</v>
      </c>
      <c r="AM26" s="5">
        <f t="shared" si="19"/>
        <v>63.203128585822093</v>
      </c>
      <c r="AN26" s="5">
        <f t="shared" si="8"/>
        <v>-1.8059684608975239</v>
      </c>
      <c r="AO26" s="5">
        <f>(AK26+AH26)*Defense!B23</f>
        <v>19.27962733968835</v>
      </c>
      <c r="AP26" s="41">
        <f t="shared" si="9"/>
        <v>358.54</v>
      </c>
      <c r="AQ26" s="42">
        <f t="shared" si="10"/>
        <v>282.83</v>
      </c>
      <c r="AR26" s="42">
        <f t="shared" si="11"/>
        <v>75.709999999999994</v>
      </c>
      <c r="AS26" s="36">
        <f>Capital!C25</f>
        <v>323.00099312662377</v>
      </c>
      <c r="AT26" s="5">
        <f>Capital!D25</f>
        <v>45.675638939860143</v>
      </c>
      <c r="AU26" s="5">
        <f>Capital!E25</f>
        <v>277.3253541867636</v>
      </c>
      <c r="AV26" s="41">
        <f t="shared" si="12"/>
        <v>418.28773709902379</v>
      </c>
      <c r="AW26" s="42">
        <f t="shared" si="13"/>
        <v>329.96128935046823</v>
      </c>
      <c r="AX26" s="64">
        <f t="shared" si="14"/>
        <v>88.326447748555495</v>
      </c>
      <c r="AZ26" s="36">
        <f t="shared" si="20"/>
        <v>257.06169786251132</v>
      </c>
      <c r="BA26" s="5">
        <f t="shared" si="21"/>
        <v>88.729535207719309</v>
      </c>
      <c r="BB26" s="5">
        <f t="shared" si="22"/>
        <v>88.653997832870488</v>
      </c>
      <c r="BC26" s="5">
        <f t="shared" si="23"/>
        <v>7.5537374848822142E-2</v>
      </c>
      <c r="BD26" s="5">
        <f t="shared" si="24"/>
        <v>168.332162654792</v>
      </c>
      <c r="BE26" s="5">
        <f>BE$29/ConsNonAg!Q$28*ConsNonAg!Q25</f>
        <v>83.522572548772061</v>
      </c>
      <c r="BF26" s="5">
        <f t="shared" si="15"/>
        <v>63.723994305434069</v>
      </c>
      <c r="BG26" s="5">
        <f t="shared" si="25"/>
        <v>-1.8059684608975239</v>
      </c>
      <c r="BH26" s="58">
        <f t="shared" si="26"/>
        <v>19.27962733968835</v>
      </c>
    </row>
    <row r="27" spans="1:62">
      <c r="A27" s="17">
        <f>'60years'!A29</f>
        <v>1973</v>
      </c>
      <c r="B27" s="22">
        <f>'60years'!B29</f>
        <v>89211</v>
      </c>
      <c r="C27" s="41">
        <f>'60years'!C29</f>
        <v>36652</v>
      </c>
      <c r="D27" s="42">
        <f>'60years'!D29</f>
        <v>28857</v>
      </c>
      <c r="E27" s="42">
        <f>'60years'!E29</f>
        <v>4492</v>
      </c>
      <c r="F27" s="42">
        <f>'60years'!F29</f>
        <v>3303</v>
      </c>
      <c r="G27" s="36">
        <f>'60years'!G29</f>
        <v>2733.3537485935872</v>
      </c>
      <c r="H27" s="5">
        <f>'60years'!H29</f>
        <v>915.63982459637236</v>
      </c>
      <c r="I27" s="5">
        <f>'60years'!I29</f>
        <v>1173</v>
      </c>
      <c r="J27" s="5">
        <f>'60years'!J29</f>
        <v>644.71392399721481</v>
      </c>
      <c r="K27" s="36">
        <f>'60years'!K29</f>
        <v>358.53766510084745</v>
      </c>
      <c r="L27" s="5">
        <f>'60years'!L29</f>
        <v>160.14445775171978</v>
      </c>
      <c r="M27" s="5">
        <f>'60years'!M29</f>
        <v>1022.0739097860479</v>
      </c>
      <c r="N27" s="5">
        <f>'60years'!N29</f>
        <v>294.34671680336442</v>
      </c>
      <c r="O27" s="36">
        <f>'60years'!O29</f>
        <v>1751.3</v>
      </c>
      <c r="P27" s="5">
        <f>'60years'!P29</f>
        <v>1432.5</v>
      </c>
      <c r="Q27" s="5">
        <f>'60years'!Q29</f>
        <v>318.79999999999995</v>
      </c>
      <c r="R27" s="5">
        <f>'60years'!R29</f>
        <v>903.5</v>
      </c>
      <c r="S27" s="5">
        <f>'60years'!S29</f>
        <v>664.5</v>
      </c>
      <c r="T27" s="5">
        <f>'60years'!T29</f>
        <v>239</v>
      </c>
      <c r="U27" s="5">
        <f>'60years'!U29</f>
        <v>14.8</v>
      </c>
      <c r="V27" s="22">
        <f>'60years'!V29</f>
        <v>116.9</v>
      </c>
      <c r="W27" s="4">
        <f>'60years'!W29</f>
        <v>103.6</v>
      </c>
      <c r="X27" s="18">
        <f>'60years'!X29</f>
        <v>13.3</v>
      </c>
      <c r="Y27" s="4"/>
      <c r="Z27" s="61">
        <f>V27*TradeCSY!B26-Merge60_CSY!W27*TradeCSY!D26</f>
        <v>-2.3266643513157561</v>
      </c>
      <c r="AA27" s="62">
        <f t="shared" si="0"/>
        <v>-15.626664351315767</v>
      </c>
      <c r="AB27" s="4"/>
      <c r="AC27" s="63">
        <f t="shared" si="1"/>
        <v>0.9858476101770538</v>
      </c>
      <c r="AD27" s="6">
        <f t="shared" si="2"/>
        <v>0.94672750516597026</v>
      </c>
      <c r="AE27" s="6">
        <f t="shared" si="3"/>
        <v>1.0068041291368082</v>
      </c>
      <c r="AF27" s="6">
        <f t="shared" si="16"/>
        <v>0.94032938261551913</v>
      </c>
      <c r="AG27" s="36">
        <f t="shared" si="4"/>
        <v>277.25925593131876</v>
      </c>
      <c r="AH27" s="5">
        <f t="shared" si="5"/>
        <v>96.716301110936044</v>
      </c>
      <c r="AI27" s="5">
        <f t="shared" si="17"/>
        <v>96.962059720316248</v>
      </c>
      <c r="AJ27" s="5">
        <f t="shared" si="6"/>
        <v>-0.24575860938020069</v>
      </c>
      <c r="AK27" s="5">
        <f t="shared" si="7"/>
        <v>180.5429548203827</v>
      </c>
      <c r="AL27" s="5">
        <f t="shared" si="18"/>
        <v>94.119589343761447</v>
      </c>
      <c r="AM27" s="5">
        <f t="shared" si="19"/>
        <v>67.403926645484162</v>
      </c>
      <c r="AN27" s="5">
        <f t="shared" si="8"/>
        <v>-1.552105707464015</v>
      </c>
      <c r="AO27" s="5">
        <f>(AK27+AH27)*Defense!B24</f>
        <v>17.467333123673082</v>
      </c>
      <c r="AP27" s="41">
        <f t="shared" si="9"/>
        <v>366.52</v>
      </c>
      <c r="AQ27" s="42">
        <f t="shared" si="10"/>
        <v>288.57</v>
      </c>
      <c r="AR27" s="42">
        <f t="shared" si="11"/>
        <v>77.95</v>
      </c>
      <c r="AS27" s="36">
        <f>Capital!C26</f>
        <v>370.57493777572665</v>
      </c>
      <c r="AT27" s="5">
        <f>Capital!D26</f>
        <v>50.827291168711604</v>
      </c>
      <c r="AU27" s="5">
        <f>Capital!E26</f>
        <v>319.74764660701504</v>
      </c>
      <c r="AV27" s="41">
        <f t="shared" si="12"/>
        <v>427.59753835425386</v>
      </c>
      <c r="AW27" s="42">
        <f t="shared" si="13"/>
        <v>336.65781306037064</v>
      </c>
      <c r="AX27" s="64">
        <f t="shared" si="14"/>
        <v>90.939725293883257</v>
      </c>
      <c r="AZ27" s="36">
        <f t="shared" si="20"/>
        <v>277.25925593131876</v>
      </c>
      <c r="BA27" s="5">
        <f t="shared" si="21"/>
        <v>96.716301110936044</v>
      </c>
      <c r="BB27" s="5">
        <f t="shared" si="22"/>
        <v>96.962059720316248</v>
      </c>
      <c r="BC27" s="5">
        <f t="shared" si="23"/>
        <v>-0.24575860938020069</v>
      </c>
      <c r="BD27" s="5">
        <f t="shared" si="24"/>
        <v>180.5429548203827</v>
      </c>
      <c r="BE27" s="5">
        <f>BE$29/ConsNonAg!Q$28*ConsNonAg!Q26</f>
        <v>88.692328960711038</v>
      </c>
      <c r="BF27" s="5">
        <f t="shared" si="15"/>
        <v>72.831187028534572</v>
      </c>
      <c r="BG27" s="5">
        <f t="shared" si="25"/>
        <v>-1.552105707464015</v>
      </c>
      <c r="BH27" s="58">
        <f t="shared" si="26"/>
        <v>17.467333123673082</v>
      </c>
    </row>
    <row r="28" spans="1:62">
      <c r="A28" s="17">
        <f>'60years'!A30</f>
        <v>1974</v>
      </c>
      <c r="B28" s="22">
        <f>'60years'!B30</f>
        <v>90859</v>
      </c>
      <c r="C28" s="41">
        <f>'60years'!C30</f>
        <v>37369</v>
      </c>
      <c r="D28" s="42">
        <f>'60years'!D30</f>
        <v>29218</v>
      </c>
      <c r="E28" s="42">
        <f>'60years'!E30</f>
        <v>4712</v>
      </c>
      <c r="F28" s="42">
        <f>'60years'!F30</f>
        <v>3439</v>
      </c>
      <c r="G28" s="36">
        <f>'60years'!G30</f>
        <v>2803.7425703395179</v>
      </c>
      <c r="H28" s="5">
        <f>'60years'!H30</f>
        <v>953.67797488538974</v>
      </c>
      <c r="I28" s="5">
        <f>'60years'!I30</f>
        <v>1192</v>
      </c>
      <c r="J28" s="5">
        <f>'60years'!J30</f>
        <v>658.06459545412827</v>
      </c>
      <c r="K28" s="36">
        <f>'60years'!K30</f>
        <v>366.81426823401142</v>
      </c>
      <c r="L28" s="5">
        <f>'60years'!L30</f>
        <v>166.69257038685481</v>
      </c>
      <c r="M28" s="5">
        <f>'60years'!M30</f>
        <v>1036.4085050060958</v>
      </c>
      <c r="N28" s="5">
        <f>'60years'!N30</f>
        <v>298.83752014167845</v>
      </c>
      <c r="O28" s="36">
        <f>'60years'!O30</f>
        <v>1809.6</v>
      </c>
      <c r="P28" s="5">
        <f>'60years'!P30</f>
        <v>1467</v>
      </c>
      <c r="Q28" s="5">
        <f>'60years'!Q30</f>
        <v>342.59999999999991</v>
      </c>
      <c r="R28" s="5">
        <f>'60years'!R30</f>
        <v>936.1</v>
      </c>
      <c r="S28" s="5">
        <f>'60years'!S30</f>
        <v>748.1</v>
      </c>
      <c r="T28" s="5">
        <f>'60years'!T30</f>
        <v>188</v>
      </c>
      <c r="U28" s="5">
        <f>'60years'!U30</f>
        <v>-7</v>
      </c>
      <c r="V28" s="22">
        <f>'60years'!V30</f>
        <v>139.4</v>
      </c>
      <c r="W28" s="4">
        <f>'60years'!W30</f>
        <v>152.80000000000001</v>
      </c>
      <c r="X28" s="18">
        <f>'60years'!X30</f>
        <v>-13.4</v>
      </c>
      <c r="Y28" s="4"/>
      <c r="Z28" s="61">
        <f>V28*TradeCSY!B27-Merge60_CSY!W28*TradeCSY!D27</f>
        <v>-9.8254535671249243</v>
      </c>
      <c r="AA28" s="62">
        <f t="shared" si="0"/>
        <v>3.5745464328750813</v>
      </c>
      <c r="AB28" s="4"/>
      <c r="AC28" s="63">
        <f t="shared" si="1"/>
        <v>0.98841800492162013</v>
      </c>
      <c r="AD28" s="6">
        <f t="shared" si="2"/>
        <v>0.94732226331279146</v>
      </c>
      <c r="AE28" s="6">
        <f t="shared" si="3"/>
        <v>1.0110267568222608</v>
      </c>
      <c r="AF28" s="6">
        <f t="shared" si="16"/>
        <v>0.93699029913936427</v>
      </c>
      <c r="AG28" s="36">
        <f t="shared" si="4"/>
        <v>283.65960113827043</v>
      </c>
      <c r="AH28" s="5">
        <f t="shared" si="5"/>
        <v>100.67091335427634</v>
      </c>
      <c r="AI28" s="5">
        <f t="shared" si="17"/>
        <v>101.70809509776933</v>
      </c>
      <c r="AJ28" s="5">
        <f t="shared" si="6"/>
        <v>-1.0371817434929964</v>
      </c>
      <c r="AK28" s="5">
        <f t="shared" si="7"/>
        <v>182.9886877839941</v>
      </c>
      <c r="AL28" s="5">
        <f t="shared" si="18"/>
        <v>91.48704473550417</v>
      </c>
      <c r="AM28" s="5">
        <f t="shared" si="19"/>
        <v>75.686601850127474</v>
      </c>
      <c r="AN28" s="5">
        <f t="shared" si="8"/>
        <v>0.35355606651896837</v>
      </c>
      <c r="AO28" s="5">
        <f>(AK28+AH28)*Defense!B25</f>
        <v>16.168597264881413</v>
      </c>
      <c r="AP28" s="41">
        <f t="shared" si="9"/>
        <v>373.69</v>
      </c>
      <c r="AQ28" s="42">
        <f t="shared" si="10"/>
        <v>292.18</v>
      </c>
      <c r="AR28" s="42">
        <f t="shared" si="11"/>
        <v>81.510000000000005</v>
      </c>
      <c r="AS28" s="36">
        <f>Capital!C27</f>
        <v>424.87737791547488</v>
      </c>
      <c r="AT28" s="5">
        <f>Capital!D27</f>
        <v>54.741264203792099</v>
      </c>
      <c r="AU28" s="5">
        <f>Capital!E27</f>
        <v>370.13611371168281</v>
      </c>
      <c r="AV28" s="41">
        <f t="shared" si="12"/>
        <v>435.96235978282533</v>
      </c>
      <c r="AW28" s="42">
        <f t="shared" si="13"/>
        <v>340.86938981868906</v>
      </c>
      <c r="AX28" s="64">
        <f t="shared" si="14"/>
        <v>95.092969964136302</v>
      </c>
      <c r="AZ28" s="36">
        <f t="shared" si="20"/>
        <v>283.65960113827043</v>
      </c>
      <c r="BA28" s="5">
        <f t="shared" si="21"/>
        <v>100.67091335427634</v>
      </c>
      <c r="BB28" s="5">
        <f t="shared" si="22"/>
        <v>101.70809509776933</v>
      </c>
      <c r="BC28" s="5">
        <f t="shared" si="23"/>
        <v>-1.0371817434929964</v>
      </c>
      <c r="BD28" s="5">
        <f t="shared" si="24"/>
        <v>182.9886877839941</v>
      </c>
      <c r="BE28" s="5">
        <f t="shared" ref="BE28:BE66" si="27">AL28</f>
        <v>91.48704473550417</v>
      </c>
      <c r="BF28" s="5">
        <f t="shared" si="15"/>
        <v>75.686601850127474</v>
      </c>
      <c r="BG28" s="5">
        <f t="shared" si="25"/>
        <v>0.35355606651896837</v>
      </c>
      <c r="BH28" s="58">
        <f t="shared" si="26"/>
        <v>16.168597264881413</v>
      </c>
    </row>
    <row r="29" spans="1:62">
      <c r="A29" s="17">
        <f>'60years'!A31</f>
        <v>1975</v>
      </c>
      <c r="B29" s="22">
        <f>'60years'!B31</f>
        <v>92420</v>
      </c>
      <c r="C29" s="41">
        <f>'60years'!C31</f>
        <v>38168</v>
      </c>
      <c r="D29" s="42">
        <f>'60years'!D31</f>
        <v>29456</v>
      </c>
      <c r="E29" s="42">
        <f>'60years'!E31</f>
        <v>5152</v>
      </c>
      <c r="F29" s="42">
        <f>'60years'!F31</f>
        <v>3560</v>
      </c>
      <c r="G29" s="36">
        <f>'60years'!G31</f>
        <v>3013.1108333419115</v>
      </c>
      <c r="H29" s="5">
        <f>'60years'!H31</f>
        <v>979.81028503089499</v>
      </c>
      <c r="I29" s="5">
        <f>'60years'!I31</f>
        <v>1370.5</v>
      </c>
      <c r="J29" s="5">
        <f>'60years'!J31</f>
        <v>662.80054831101643</v>
      </c>
      <c r="K29" s="36">
        <f>'60years'!K31</f>
        <v>398.69845365871993</v>
      </c>
      <c r="L29" s="5">
        <f>'60years'!L31</f>
        <v>170.0858500437175</v>
      </c>
      <c r="M29" s="5">
        <f>'60years'!M31</f>
        <v>1200.2201142376043</v>
      </c>
      <c r="N29" s="5">
        <f>'60years'!N31</f>
        <v>313.51950028918492</v>
      </c>
      <c r="O29" s="36">
        <f>'60years'!O31</f>
        <v>1887.4</v>
      </c>
      <c r="P29" s="5">
        <f>'60years'!P31</f>
        <v>1528.5</v>
      </c>
      <c r="Q29" s="5">
        <f>'60years'!Q31</f>
        <v>358.90000000000009</v>
      </c>
      <c r="R29" s="5">
        <f>'60years'!R31</f>
        <v>1062.3</v>
      </c>
      <c r="S29" s="5">
        <f>'60years'!S31</f>
        <v>880.3</v>
      </c>
      <c r="T29" s="5">
        <f>'60years'!T31</f>
        <v>182</v>
      </c>
      <c r="U29" s="5">
        <f>'60years'!U31</f>
        <v>0.7</v>
      </c>
      <c r="V29" s="22">
        <f>'60years'!V31</f>
        <v>143</v>
      </c>
      <c r="W29" s="4">
        <f>'60years'!W31</f>
        <v>147.4</v>
      </c>
      <c r="X29" s="18">
        <f>'60years'!X31</f>
        <v>-4.4000000000000004</v>
      </c>
      <c r="Y29" s="4"/>
      <c r="Z29" s="61">
        <f>V29*TradeCSY!B28-Merge60_CSY!W29*TradeCSY!D28</f>
        <v>-7.2838485736525733</v>
      </c>
      <c r="AA29" s="62">
        <f t="shared" si="0"/>
        <v>-2.8838485736525676</v>
      </c>
      <c r="AB29" s="4"/>
      <c r="AC29" s="63">
        <f t="shared" si="1"/>
        <v>0.97728062358513679</v>
      </c>
      <c r="AD29" s="6">
        <f t="shared" si="2"/>
        <v>0.95386308932783359</v>
      </c>
      <c r="AE29" s="6">
        <f t="shared" si="3"/>
        <v>0.98898055427852438</v>
      </c>
      <c r="AF29" s="6">
        <f t="shared" si="16"/>
        <v>0.96449124828717236</v>
      </c>
      <c r="AG29" s="36">
        <f t="shared" si="4"/>
        <v>308.31582665461713</v>
      </c>
      <c r="AH29" s="5">
        <f t="shared" si="5"/>
        <v>102.72022221987285</v>
      </c>
      <c r="AI29" s="5">
        <f t="shared" si="17"/>
        <v>103.48383794786851</v>
      </c>
      <c r="AJ29" s="5">
        <f t="shared" si="6"/>
        <v>-0.76361572799565414</v>
      </c>
      <c r="AK29" s="5">
        <f t="shared" si="7"/>
        <v>205.59560443474427</v>
      </c>
      <c r="AL29" s="5">
        <f t="shared" si="18"/>
        <v>97.653522719477849</v>
      </c>
      <c r="AM29" s="5">
        <f t="shared" si="19"/>
        <v>90.076481489076784</v>
      </c>
      <c r="AN29" s="5">
        <f t="shared" si="8"/>
        <v>-0.29159810687646703</v>
      </c>
      <c r="AO29" s="5">
        <f>(AK29+AH29)*Defense!B26</f>
        <v>17.574002119313175</v>
      </c>
      <c r="AP29" s="41">
        <f t="shared" si="9"/>
        <v>381.68</v>
      </c>
      <c r="AQ29" s="42">
        <f t="shared" si="10"/>
        <v>294.56</v>
      </c>
      <c r="AR29" s="42">
        <f t="shared" si="11"/>
        <v>87.12</v>
      </c>
      <c r="AS29" s="36">
        <f>Capital!C28</f>
        <v>479.32011086982862</v>
      </c>
      <c r="AT29" s="5">
        <f>Capital!D28</f>
        <v>57.768793990636006</v>
      </c>
      <c r="AU29" s="5">
        <f>Capital!E28</f>
        <v>421.5513168791926</v>
      </c>
      <c r="AV29" s="41">
        <f t="shared" si="12"/>
        <v>445.28382745566853</v>
      </c>
      <c r="AW29" s="42">
        <f t="shared" si="13"/>
        <v>343.64599721059977</v>
      </c>
      <c r="AX29" s="64">
        <f t="shared" si="14"/>
        <v>101.63783024506876</v>
      </c>
      <c r="AZ29" s="36">
        <f t="shared" si="20"/>
        <v>308.31582665461713</v>
      </c>
      <c r="BA29" s="5">
        <f t="shared" si="21"/>
        <v>102.72022221987285</v>
      </c>
      <c r="BB29" s="5">
        <f t="shared" si="22"/>
        <v>103.48383794786851</v>
      </c>
      <c r="BC29" s="5">
        <f t="shared" si="23"/>
        <v>-0.76361572799565414</v>
      </c>
      <c r="BD29" s="5">
        <f t="shared" si="24"/>
        <v>205.59560443474427</v>
      </c>
      <c r="BE29" s="5">
        <f t="shared" si="27"/>
        <v>97.653522719477849</v>
      </c>
      <c r="BF29" s="5">
        <f t="shared" si="15"/>
        <v>90.076481489076784</v>
      </c>
      <c r="BG29" s="5">
        <f t="shared" si="25"/>
        <v>-0.29159810687646703</v>
      </c>
      <c r="BH29" s="58">
        <f t="shared" si="26"/>
        <v>17.574002119313175</v>
      </c>
    </row>
    <row r="30" spans="1:62">
      <c r="A30" s="17">
        <f>'60years'!A32</f>
        <v>1976</v>
      </c>
      <c r="B30" s="22">
        <f>'60years'!B32</f>
        <v>93717</v>
      </c>
      <c r="C30" s="41">
        <f>'60years'!C32</f>
        <v>38834</v>
      </c>
      <c r="D30" s="42">
        <f>'60years'!D32</f>
        <v>29443</v>
      </c>
      <c r="E30" s="42">
        <f>'60years'!E32</f>
        <v>5611</v>
      </c>
      <c r="F30" s="42">
        <f>'60years'!F32</f>
        <v>3780</v>
      </c>
      <c r="G30" s="36">
        <f>'60years'!G32</f>
        <v>2961.4726575808982</v>
      </c>
      <c r="H30" s="5">
        <f>'60years'!H32</f>
        <v>975.67351006577633</v>
      </c>
      <c r="I30" s="5">
        <f>'60years'!I32</f>
        <v>1337.2</v>
      </c>
      <c r="J30" s="5">
        <f>'60years'!J32</f>
        <v>648.59914751512179</v>
      </c>
      <c r="K30" s="36">
        <f>'60years'!K32</f>
        <v>392.24190611021635</v>
      </c>
      <c r="L30" s="5">
        <f>'60years'!L32</f>
        <v>167.07775348303923</v>
      </c>
      <c r="M30" s="5">
        <f>'60years'!M32</f>
        <v>1170.2556290487094</v>
      </c>
      <c r="N30" s="5">
        <f>'60years'!N32</f>
        <v>314.7491301388697</v>
      </c>
      <c r="O30" s="36">
        <f>'60years'!O32</f>
        <v>1969.5</v>
      </c>
      <c r="P30" s="5">
        <f>'60years'!P32</f>
        <v>1588.5</v>
      </c>
      <c r="Q30" s="5">
        <f>'60years'!Q32</f>
        <v>381</v>
      </c>
      <c r="R30" s="5">
        <f>'60years'!R32</f>
        <v>990.1</v>
      </c>
      <c r="S30" s="5">
        <f>'60years'!S32</f>
        <v>865.1</v>
      </c>
      <c r="T30" s="5">
        <f>'60years'!T32</f>
        <v>125</v>
      </c>
      <c r="U30" s="5">
        <f>'60years'!U32</f>
        <v>8.6999999999999993</v>
      </c>
      <c r="V30" s="22">
        <f>'60years'!V32</f>
        <v>134.80000000000001</v>
      </c>
      <c r="W30" s="4">
        <f>'60years'!W32</f>
        <v>129.30000000000001</v>
      </c>
      <c r="X30" s="18">
        <f>'60years'!X32</f>
        <v>5.5</v>
      </c>
      <c r="Y30" s="4"/>
      <c r="Z30" s="61">
        <f>V30*TradeCSY!B29-Merge60_CSY!W30*TradeCSY!D29</f>
        <v>-4.17874319823569</v>
      </c>
      <c r="AA30" s="62">
        <f t="shared" si="0"/>
        <v>-9.67874319823569</v>
      </c>
      <c r="AB30" s="4"/>
      <c r="AC30" s="63">
        <f t="shared" si="1"/>
        <v>0.97634311731877421</v>
      </c>
      <c r="AD30" s="6">
        <f t="shared" si="2"/>
        <v>0.9669368718230299</v>
      </c>
      <c r="AE30" s="6">
        <f t="shared" si="3"/>
        <v>0.98103201290005493</v>
      </c>
      <c r="AF30" s="6">
        <f t="shared" si="16"/>
        <v>0.98563233320454247</v>
      </c>
      <c r="AG30" s="36">
        <f t="shared" si="4"/>
        <v>303.32294098755682</v>
      </c>
      <c r="AH30" s="5">
        <f t="shared" si="5"/>
        <v>100.90353760388459</v>
      </c>
      <c r="AI30" s="5">
        <f t="shared" si="17"/>
        <v>101.33570058370324</v>
      </c>
      <c r="AJ30" s="5">
        <f t="shared" si="6"/>
        <v>-0.43216297981865448</v>
      </c>
      <c r="AK30" s="5">
        <f t="shared" si="7"/>
        <v>202.41940338367223</v>
      </c>
      <c r="AL30" s="5">
        <f t="shared" si="18"/>
        <v>96.14390854145762</v>
      </c>
      <c r="AM30" s="5">
        <f t="shared" si="19"/>
        <v>88.606145181391838</v>
      </c>
      <c r="AN30" s="5">
        <f t="shared" si="8"/>
        <v>-0.98658790650715844</v>
      </c>
      <c r="AO30" s="5">
        <f>(AK30+AH30)*Defense!B27</f>
        <v>16.682761754315628</v>
      </c>
      <c r="AP30" s="41">
        <f t="shared" si="9"/>
        <v>388.34</v>
      </c>
      <c r="AQ30" s="42">
        <f t="shared" si="10"/>
        <v>294.43</v>
      </c>
      <c r="AR30" s="42">
        <f t="shared" si="11"/>
        <v>93.91</v>
      </c>
      <c r="AS30" s="36">
        <f>Capital!C29</f>
        <v>545.4305868154139</v>
      </c>
      <c r="AT30" s="5">
        <f>Capital!D29</f>
        <v>61.199812514817765</v>
      </c>
      <c r="AU30" s="5">
        <f>Capital!E29</f>
        <v>484.23077430059612</v>
      </c>
      <c r="AV30" s="41">
        <f t="shared" si="12"/>
        <v>453.05366158597332</v>
      </c>
      <c r="AW30" s="42">
        <f t="shared" si="13"/>
        <v>343.49433378162985</v>
      </c>
      <c r="AX30" s="64">
        <f t="shared" si="14"/>
        <v>109.55932780434351</v>
      </c>
      <c r="AZ30" s="36">
        <f t="shared" si="20"/>
        <v>303.32294098755682</v>
      </c>
      <c r="BA30" s="5">
        <f t="shared" si="21"/>
        <v>100.90353760388459</v>
      </c>
      <c r="BB30" s="5">
        <f t="shared" si="22"/>
        <v>101.33570058370324</v>
      </c>
      <c r="BC30" s="5">
        <f t="shared" si="23"/>
        <v>-0.43216297981865448</v>
      </c>
      <c r="BD30" s="5">
        <f t="shared" si="24"/>
        <v>202.41940338367223</v>
      </c>
      <c r="BE30" s="5">
        <f t="shared" si="27"/>
        <v>96.14390854145762</v>
      </c>
      <c r="BF30" s="5">
        <f t="shared" si="15"/>
        <v>88.606145181391824</v>
      </c>
      <c r="BG30" s="5">
        <f t="shared" si="25"/>
        <v>-0.98658790650715844</v>
      </c>
      <c r="BH30" s="58">
        <f t="shared" si="26"/>
        <v>16.682761754315628</v>
      </c>
    </row>
    <row r="31" spans="1:62">
      <c r="A31" s="17">
        <f>'60years'!A33</f>
        <v>1977</v>
      </c>
      <c r="B31" s="22">
        <f>'60years'!B33</f>
        <v>94974</v>
      </c>
      <c r="C31" s="41">
        <f>'60years'!C33</f>
        <v>39377</v>
      </c>
      <c r="D31" s="42">
        <f>'60years'!D33</f>
        <v>29340</v>
      </c>
      <c r="E31" s="42">
        <f>'60years'!E33</f>
        <v>5831</v>
      </c>
      <c r="F31" s="42">
        <f>'60years'!F33</f>
        <v>4206</v>
      </c>
      <c r="G31" s="36">
        <f>'60years'!G33</f>
        <v>3221.0517728111718</v>
      </c>
      <c r="H31" s="5">
        <f>'60years'!H33</f>
        <v>950.55016942395855</v>
      </c>
      <c r="I31" s="5">
        <f>'60years'!I33</f>
        <v>1509.1</v>
      </c>
      <c r="J31" s="5">
        <f>'60years'!J33</f>
        <v>761.40160338721353</v>
      </c>
      <c r="K31" s="36">
        <f>'60years'!K33</f>
        <v>422.12004486862031</v>
      </c>
      <c r="L31" s="5">
        <f>'60years'!L33</f>
        <v>163.37265893878916</v>
      </c>
      <c r="M31" s="5">
        <f>'60years'!M33</f>
        <v>1325.777351887901</v>
      </c>
      <c r="N31" s="5">
        <f>'60years'!N33</f>
        <v>345.00441971789331</v>
      </c>
      <c r="O31" s="36">
        <f>'60years'!O33</f>
        <v>2057.8000000000002</v>
      </c>
      <c r="P31" s="5">
        <f>'60years'!P33</f>
        <v>1647.8</v>
      </c>
      <c r="Q31" s="5">
        <f>'60years'!Q33</f>
        <v>410.00000000000023</v>
      </c>
      <c r="R31" s="5">
        <f>'60years'!R33</f>
        <v>1098.0999999999999</v>
      </c>
      <c r="S31" s="5">
        <f>'60years'!S33</f>
        <v>911.1</v>
      </c>
      <c r="T31" s="5">
        <f>'60years'!T33</f>
        <v>186.99999999999989</v>
      </c>
      <c r="U31" s="5">
        <f>'60years'!U33</f>
        <v>10.1</v>
      </c>
      <c r="V31" s="22">
        <f>'60years'!V33</f>
        <v>139.69999999999999</v>
      </c>
      <c r="W31" s="4">
        <f>'60years'!W33</f>
        <v>132.80000000000001</v>
      </c>
      <c r="X31" s="18">
        <f>'60years'!X33</f>
        <v>6.9</v>
      </c>
      <c r="Y31" s="4"/>
      <c r="Z31" s="61">
        <f>V31*TradeCSY!B30-Merge60_CSY!W31*TradeCSY!D30</f>
        <v>-3.6972306425359029</v>
      </c>
      <c r="AA31" s="62">
        <f t="shared" si="0"/>
        <v>-10.59723064253588</v>
      </c>
      <c r="AB31" s="4"/>
      <c r="AC31" s="63">
        <f t="shared" si="1"/>
        <v>0.9867575596968029</v>
      </c>
      <c r="AD31" s="6">
        <f t="shared" si="2"/>
        <v>0.9634027924584414</v>
      </c>
      <c r="AE31" s="6">
        <f t="shared" si="3"/>
        <v>0.99687478647629535</v>
      </c>
      <c r="AF31" s="6">
        <f t="shared" si="16"/>
        <v>0.96642307090926727</v>
      </c>
      <c r="AG31" s="36">
        <f t="shared" si="4"/>
        <v>326.42787898183337</v>
      </c>
      <c r="AH31" s="5">
        <f t="shared" si="5"/>
        <v>98.665913869557599</v>
      </c>
      <c r="AI31" s="5">
        <f t="shared" si="17"/>
        <v>99.049681767209336</v>
      </c>
      <c r="AJ31" s="5">
        <f t="shared" si="6"/>
        <v>-0.38376789765173858</v>
      </c>
      <c r="AK31" s="5">
        <f t="shared" si="7"/>
        <v>227.76196511227579</v>
      </c>
      <c r="AL31" s="5">
        <f t="shared" si="18"/>
        <v>116.08624817588893</v>
      </c>
      <c r="AM31" s="5">
        <f t="shared" si="19"/>
        <v>92.332710405578254</v>
      </c>
      <c r="AN31" s="5">
        <f t="shared" si="8"/>
        <v>-1.0630453078259163</v>
      </c>
      <c r="AO31" s="5">
        <f>(AK31+AH31)*Defense!B28</f>
        <v>18.279961222982671</v>
      </c>
      <c r="AP31" s="41">
        <f t="shared" si="9"/>
        <v>393.77</v>
      </c>
      <c r="AQ31" s="42">
        <f t="shared" si="10"/>
        <v>293.39999999999998</v>
      </c>
      <c r="AR31" s="42">
        <f t="shared" si="11"/>
        <v>100.37</v>
      </c>
      <c r="AS31" s="36">
        <f>Capital!C30</f>
        <v>606.76520265603506</v>
      </c>
      <c r="AT31" s="5">
        <f>Capital!D30</f>
        <v>63.034897204959918</v>
      </c>
      <c r="AU31" s="5">
        <f>Capital!E30</f>
        <v>543.73030545107508</v>
      </c>
      <c r="AV31" s="41">
        <f t="shared" si="12"/>
        <v>459.38852634987052</v>
      </c>
      <c r="AW31" s="42">
        <f t="shared" si="13"/>
        <v>342.29269276748357</v>
      </c>
      <c r="AX31" s="64">
        <f t="shared" si="14"/>
        <v>117.09583358238696</v>
      </c>
      <c r="AZ31" s="36">
        <f t="shared" si="20"/>
        <v>326.42787898183337</v>
      </c>
      <c r="BA31" s="5">
        <f t="shared" si="21"/>
        <v>98.665913869557599</v>
      </c>
      <c r="BB31" s="5">
        <f t="shared" si="22"/>
        <v>99.049681767209336</v>
      </c>
      <c r="BC31" s="5">
        <f t="shared" si="23"/>
        <v>-0.38376789765173858</v>
      </c>
      <c r="BD31" s="5">
        <f t="shared" si="24"/>
        <v>227.76196511227579</v>
      </c>
      <c r="BE31" s="5">
        <f t="shared" si="27"/>
        <v>116.08624817588893</v>
      </c>
      <c r="BF31" s="5">
        <f t="shared" si="15"/>
        <v>92.332710405578268</v>
      </c>
      <c r="BG31" s="5">
        <f t="shared" si="25"/>
        <v>-1.0630453078259163</v>
      </c>
      <c r="BH31" s="58">
        <f t="shared" si="26"/>
        <v>18.279961222982671</v>
      </c>
    </row>
    <row r="32" spans="1:62">
      <c r="A32" s="17">
        <f>'60years'!A34</f>
        <v>1978</v>
      </c>
      <c r="B32" s="22">
        <f>'60years'!B34</f>
        <v>96259</v>
      </c>
      <c r="C32" s="41">
        <f>'60years'!C34</f>
        <v>40152</v>
      </c>
      <c r="D32" s="42">
        <f>'60years'!D34</f>
        <v>28318</v>
      </c>
      <c r="E32" s="42">
        <f>'60years'!E34</f>
        <v>6945</v>
      </c>
      <c r="F32" s="42">
        <f>'60years'!F34</f>
        <v>4890</v>
      </c>
      <c r="G32" s="36">
        <f>'60years'!G34</f>
        <v>3645.2174740458895</v>
      </c>
      <c r="H32" s="5">
        <f>'60years'!H34</f>
        <v>1027.5345425553119</v>
      </c>
      <c r="I32" s="5">
        <f>'60years'!I34</f>
        <v>1745.2</v>
      </c>
      <c r="J32" s="5">
        <f>'60years'!J34</f>
        <v>872.48293149057758</v>
      </c>
      <c r="K32" s="36">
        <f>'60years'!K34</f>
        <v>471.38111134979488</v>
      </c>
      <c r="L32" s="5">
        <f>'60years'!L34</f>
        <v>170.14087620031529</v>
      </c>
      <c r="M32" s="5">
        <f>'60years'!M34</f>
        <v>1525.1663902197686</v>
      </c>
      <c r="N32" s="5">
        <f>'60years'!N34</f>
        <v>392.65646359857124</v>
      </c>
      <c r="O32" s="36">
        <f>'60years'!O34</f>
        <v>2239.1</v>
      </c>
      <c r="P32" s="5">
        <f>'60years'!P34</f>
        <v>1759.1</v>
      </c>
      <c r="Q32" s="5">
        <f>'60years'!Q34</f>
        <v>480</v>
      </c>
      <c r="R32" s="5">
        <f>'60years'!R34</f>
        <v>1377.9</v>
      </c>
      <c r="S32" s="5">
        <f>'60years'!S34</f>
        <v>1073.9000000000001</v>
      </c>
      <c r="T32" s="5">
        <f>'60years'!T34</f>
        <v>304</v>
      </c>
      <c r="U32" s="5">
        <f>'60years'!U34</f>
        <v>-11.4</v>
      </c>
      <c r="V32" s="22">
        <f>'60years'!V34</f>
        <v>167.6</v>
      </c>
      <c r="W32" s="4">
        <f>'60years'!W34</f>
        <v>187.4</v>
      </c>
      <c r="X32" s="18">
        <f>'60years'!X34</f>
        <v>-19.8</v>
      </c>
      <c r="Y32" s="4"/>
      <c r="Z32" s="61">
        <f>V32*TradeCSY!B31-Merge60_CSY!W32*TradeCSY!D31</f>
        <v>-10.129851637999728</v>
      </c>
      <c r="AA32" s="62">
        <f t="shared" si="0"/>
        <v>9.6701483620002833</v>
      </c>
      <c r="AB32" s="4"/>
      <c r="AC32" s="63">
        <f t="shared" si="1"/>
        <v>1</v>
      </c>
      <c r="AD32" s="6">
        <f t="shared" si="2"/>
        <v>1</v>
      </c>
      <c r="AE32" s="6">
        <f t="shared" si="3"/>
        <v>1</v>
      </c>
      <c r="AF32" s="6">
        <f t="shared" si="16"/>
        <v>1</v>
      </c>
      <c r="AG32" s="36">
        <f t="shared" si="4"/>
        <v>364.52174740458895</v>
      </c>
      <c r="AH32" s="5">
        <f t="shared" si="5"/>
        <v>102.75345425553118</v>
      </c>
      <c r="AI32" s="5">
        <f t="shared" si="17"/>
        <v>103.76643941933115</v>
      </c>
      <c r="AJ32" s="5">
        <f t="shared" si="6"/>
        <v>-1.0129851637999729</v>
      </c>
      <c r="AK32" s="5">
        <f t="shared" si="7"/>
        <v>261.76829314905774</v>
      </c>
      <c r="AL32" s="5">
        <f t="shared" si="18"/>
        <v>134.93209013060081</v>
      </c>
      <c r="AM32" s="5">
        <f t="shared" si="19"/>
        <v>107.39</v>
      </c>
      <c r="AN32" s="5">
        <f t="shared" si="8"/>
        <v>0.96701483620002815</v>
      </c>
      <c r="AO32" s="5">
        <f>(AK32+AH32)*Defense!B29</f>
        <v>20.413217854656985</v>
      </c>
      <c r="AP32" s="41">
        <f t="shared" si="9"/>
        <v>401.52</v>
      </c>
      <c r="AQ32" s="42">
        <f t="shared" si="10"/>
        <v>283.18</v>
      </c>
      <c r="AR32" s="42">
        <f t="shared" si="11"/>
        <v>118.35</v>
      </c>
      <c r="AS32" s="36">
        <f>Capital!C31</f>
        <v>668.75965292881153</v>
      </c>
      <c r="AT32" s="5">
        <f>Capital!D31</f>
        <v>63.912705753300216</v>
      </c>
      <c r="AU32" s="5">
        <f>Capital!E31</f>
        <v>604.84694717551133</v>
      </c>
      <c r="AV32" s="41">
        <v>468.43</v>
      </c>
      <c r="AW32" s="42">
        <v>330.36</v>
      </c>
      <c r="AX32" s="64">
        <v>138.07</v>
      </c>
      <c r="AZ32" s="36">
        <f t="shared" si="20"/>
        <v>364.52174740458895</v>
      </c>
      <c r="BA32" s="5">
        <f t="shared" si="21"/>
        <v>102.75345425553118</v>
      </c>
      <c r="BB32" s="5">
        <f t="shared" si="22"/>
        <v>103.76643941933115</v>
      </c>
      <c r="BC32" s="5">
        <f t="shared" si="23"/>
        <v>-1.0129851637999729</v>
      </c>
      <c r="BD32" s="5">
        <f t="shared" si="24"/>
        <v>261.76829314905774</v>
      </c>
      <c r="BE32" s="5">
        <f t="shared" si="27"/>
        <v>134.93209013060081</v>
      </c>
      <c r="BF32" s="5">
        <f t="shared" si="15"/>
        <v>107.38999999999997</v>
      </c>
      <c r="BG32" s="5">
        <f t="shared" si="25"/>
        <v>0.96701483620002815</v>
      </c>
      <c r="BH32" s="58">
        <f t="shared" si="26"/>
        <v>20.413217854656985</v>
      </c>
    </row>
    <row r="33" spans="1:60">
      <c r="A33" s="17">
        <f>'60years'!A35</f>
        <v>1979</v>
      </c>
      <c r="B33" s="22">
        <f>'60years'!B35</f>
        <v>97542</v>
      </c>
      <c r="C33" s="41">
        <f>'60years'!C35</f>
        <v>41024</v>
      </c>
      <c r="D33" s="42">
        <f>'60years'!D35</f>
        <v>28634</v>
      </c>
      <c r="E33" s="42">
        <f>'60years'!E35</f>
        <v>7214</v>
      </c>
      <c r="F33" s="42">
        <f>'60years'!F35</f>
        <v>5177</v>
      </c>
      <c r="G33" s="36">
        <f>'60years'!G35</f>
        <v>4062.5791908646165</v>
      </c>
      <c r="H33" s="5">
        <f>'60years'!H35</f>
        <v>1270.1917081921467</v>
      </c>
      <c r="I33" s="5">
        <f>'60years'!I35</f>
        <v>1913.5</v>
      </c>
      <c r="J33" s="5">
        <f>'60years'!J35</f>
        <v>878.88748267246956</v>
      </c>
      <c r="K33" s="36">
        <f>'60years'!K35</f>
        <v>507.07811394820817</v>
      </c>
      <c r="L33" s="5">
        <f>'60years'!L35</f>
        <v>180.57750390169298</v>
      </c>
      <c r="M33" s="5">
        <f>'60years'!M35</f>
        <v>1650.2055099705456</v>
      </c>
      <c r="N33" s="5">
        <f>'60years'!N35</f>
        <v>423.51452376048672</v>
      </c>
      <c r="O33" s="36">
        <f>'60years'!O35</f>
        <v>2633.7</v>
      </c>
      <c r="P33" s="5">
        <f>'60years'!P35</f>
        <v>2011.5</v>
      </c>
      <c r="Q33" s="5">
        <f>'60years'!Q35</f>
        <v>622.20000000000005</v>
      </c>
      <c r="R33" s="5">
        <f>'60years'!R35</f>
        <v>1478.9</v>
      </c>
      <c r="S33" s="5">
        <f>'60years'!S35</f>
        <v>1153.0999999999999</v>
      </c>
      <c r="T33" s="5">
        <f>'60years'!T35</f>
        <v>325.8</v>
      </c>
      <c r="U33" s="5">
        <f>'60years'!U35</f>
        <v>-20</v>
      </c>
      <c r="V33" s="22">
        <f>'60years'!V35</f>
        <v>211.7</v>
      </c>
      <c r="W33" s="4">
        <f>'60years'!W35</f>
        <v>242.9</v>
      </c>
      <c r="X33" s="18">
        <f>'60years'!X35</f>
        <v>-31.2</v>
      </c>
      <c r="Y33" s="4"/>
      <c r="Z33" s="61">
        <f>V33*TradeCSY!B32-Merge60_CSY!W33*TradeCSY!D32</f>
        <v>-13.269974658344566</v>
      </c>
      <c r="AA33" s="62">
        <f t="shared" si="0"/>
        <v>17.930025341655451</v>
      </c>
      <c r="AB33" s="4"/>
      <c r="AC33" s="63">
        <f t="shared" si="1"/>
        <v>1.0360380501111117</v>
      </c>
      <c r="AD33" s="6">
        <f t="shared" si="2"/>
        <v>1.1647101558843935</v>
      </c>
      <c r="AE33" s="6">
        <f t="shared" si="3"/>
        <v>0.9864654154986271</v>
      </c>
      <c r="AF33" s="6">
        <f t="shared" si="16"/>
        <v>1.1806903086365874</v>
      </c>
      <c r="AG33" s="36">
        <f t="shared" si="4"/>
        <v>392.12644655559882</v>
      </c>
      <c r="AH33" s="5">
        <f t="shared" si="5"/>
        <v>109.0564636853929</v>
      </c>
      <c r="AI33" s="5">
        <f t="shared" si="17"/>
        <v>110.19580076348923</v>
      </c>
      <c r="AJ33" s="5">
        <f t="shared" si="6"/>
        <v>-1.139337078096339</v>
      </c>
      <c r="AK33" s="5">
        <f t="shared" si="7"/>
        <v>283.06998287020593</v>
      </c>
      <c r="AL33" s="5">
        <f t="shared" si="18"/>
        <v>147.70823940979525</v>
      </c>
      <c r="AM33" s="5">
        <f t="shared" si="19"/>
        <v>111.29900102378805</v>
      </c>
      <c r="AN33" s="5">
        <f t="shared" si="8"/>
        <v>1.8176030360468733</v>
      </c>
      <c r="AO33" s="5">
        <f>(AK33+AH33)*Defense!B30</f>
        <v>25.880345472669521</v>
      </c>
      <c r="AP33" s="41">
        <f t="shared" si="9"/>
        <v>410.24</v>
      </c>
      <c r="AQ33" s="42">
        <f t="shared" si="10"/>
        <v>286.33999999999997</v>
      </c>
      <c r="AR33" s="42">
        <f t="shared" si="11"/>
        <v>123.91</v>
      </c>
      <c r="AS33" s="36">
        <f>Capital!C32</f>
        <v>742.71167028237096</v>
      </c>
      <c r="AT33" s="5">
        <f>Capital!D32</f>
        <v>71.759126004923601</v>
      </c>
      <c r="AU33" s="5">
        <f>Capital!E32</f>
        <v>670.95254427744737</v>
      </c>
      <c r="AV33" s="41">
        <v>479.67</v>
      </c>
      <c r="AW33" s="42">
        <v>334.79</v>
      </c>
      <c r="AX33" s="64">
        <v>144.88</v>
      </c>
      <c r="AZ33" s="36">
        <f t="shared" si="20"/>
        <v>392.12644655559882</v>
      </c>
      <c r="BA33" s="5">
        <f t="shared" si="21"/>
        <v>109.0564636853929</v>
      </c>
      <c r="BB33" s="5">
        <f t="shared" si="22"/>
        <v>110.19580076348923</v>
      </c>
      <c r="BC33" s="5">
        <f t="shared" si="23"/>
        <v>-1.139337078096339</v>
      </c>
      <c r="BD33" s="5">
        <f t="shared" si="24"/>
        <v>283.06998287020593</v>
      </c>
      <c r="BE33" s="5">
        <f t="shared" si="27"/>
        <v>147.70823940979525</v>
      </c>
      <c r="BF33" s="5">
        <f t="shared" si="15"/>
        <v>111.29900102378804</v>
      </c>
      <c r="BG33" s="5">
        <f t="shared" si="25"/>
        <v>1.8176030360468733</v>
      </c>
      <c r="BH33" s="58">
        <f t="shared" si="26"/>
        <v>25.880345472669521</v>
      </c>
    </row>
    <row r="34" spans="1:60">
      <c r="A34" s="17">
        <f>'60years'!A36</f>
        <v>1980</v>
      </c>
      <c r="B34" s="22">
        <f>'60years'!B36</f>
        <v>98705</v>
      </c>
      <c r="C34" s="41">
        <f>'60years'!C36</f>
        <v>42361</v>
      </c>
      <c r="D34" s="42">
        <f>'60years'!D36</f>
        <v>29122</v>
      </c>
      <c r="E34" s="42">
        <f>'60years'!E36</f>
        <v>7707</v>
      </c>
      <c r="F34" s="42">
        <f>'60years'!F36</f>
        <v>5532</v>
      </c>
      <c r="G34" s="36">
        <f>'60years'!G36</f>
        <v>4545.6239733557295</v>
      </c>
      <c r="H34" s="5">
        <f>'60years'!H36</f>
        <v>1371.5931433127369</v>
      </c>
      <c r="I34" s="5">
        <f>'60years'!I36</f>
        <v>2192</v>
      </c>
      <c r="J34" s="5">
        <f>'60years'!J36</f>
        <v>982.03083004299242</v>
      </c>
      <c r="K34" s="36">
        <f>'60years'!K36</f>
        <v>546.84035018827171</v>
      </c>
      <c r="L34" s="5">
        <f>'60years'!L36</f>
        <v>177.89956428060131</v>
      </c>
      <c r="M34" s="5">
        <f>'60years'!M36</f>
        <v>1874.1187955463504</v>
      </c>
      <c r="N34" s="5">
        <f>'60years'!N36</f>
        <v>448.91896866894814</v>
      </c>
      <c r="O34" s="36">
        <f>'60years'!O36</f>
        <v>3007.9</v>
      </c>
      <c r="P34" s="5">
        <f>'60years'!P36</f>
        <v>2331.1999999999998</v>
      </c>
      <c r="Q34" s="5">
        <f>'60years'!Q36</f>
        <v>676.7</v>
      </c>
      <c r="R34" s="5">
        <f>'60years'!R36</f>
        <v>1599.7</v>
      </c>
      <c r="S34" s="5">
        <f>'60years'!S36</f>
        <v>1322.4</v>
      </c>
      <c r="T34" s="5">
        <f>'60years'!T36</f>
        <v>277.3</v>
      </c>
      <c r="U34" s="5">
        <f>'60years'!U36</f>
        <v>-14.7</v>
      </c>
      <c r="V34" s="22">
        <f>'60years'!V36</f>
        <v>271.2</v>
      </c>
      <c r="W34" s="4">
        <f>'60years'!W36</f>
        <v>298.8</v>
      </c>
      <c r="X34" s="18">
        <f>'60years'!X36</f>
        <v>-27.6</v>
      </c>
      <c r="Y34" s="4"/>
      <c r="Z34" s="61">
        <f>V34*TradeCSY!B33-Merge60_CSY!W34*TradeCSY!D33</f>
        <v>-13.387295218255495</v>
      </c>
      <c r="AA34" s="62">
        <f t="shared" si="0"/>
        <v>14.212704781744527</v>
      </c>
      <c r="AB34" s="4"/>
      <c r="AC34" s="63">
        <f t="shared" si="1"/>
        <v>1.0749337198435396</v>
      </c>
      <c r="AD34" s="6">
        <f t="shared" si="2"/>
        <v>1.2766229736595487</v>
      </c>
      <c r="AE34" s="6">
        <f t="shared" si="3"/>
        <v>1.0062372146910792</v>
      </c>
      <c r="AF34" s="6">
        <f t="shared" si="16"/>
        <v>1.2687097585150233</v>
      </c>
      <c r="AG34" s="36">
        <f t="shared" si="4"/>
        <v>422.8748144599428</v>
      </c>
      <c r="AH34" s="5">
        <f t="shared" si="5"/>
        <v>107.43917128335457</v>
      </c>
      <c r="AI34" s="5">
        <f t="shared" si="17"/>
        <v>108.48782037509696</v>
      </c>
      <c r="AJ34" s="5">
        <f t="shared" si="6"/>
        <v>-1.0486490917423859</v>
      </c>
      <c r="AK34" s="5">
        <f t="shared" si="7"/>
        <v>315.4356431765882</v>
      </c>
      <c r="AL34" s="5">
        <f t="shared" si="18"/>
        <v>171.41420016865303</v>
      </c>
      <c r="AM34" s="5">
        <f t="shared" si="19"/>
        <v>123.02153849936721</v>
      </c>
      <c r="AN34" s="5">
        <f t="shared" si="8"/>
        <v>1.4124606578089951</v>
      </c>
      <c r="AO34" s="5">
        <f>(AK34+AH34)*Defense!B31</f>
        <v>22.412365166376969</v>
      </c>
      <c r="AP34" s="41">
        <f t="shared" si="9"/>
        <v>423.61</v>
      </c>
      <c r="AQ34" s="42">
        <f t="shared" si="10"/>
        <v>291.22000000000003</v>
      </c>
      <c r="AR34" s="42">
        <f t="shared" si="11"/>
        <v>132.38999999999999</v>
      </c>
      <c r="AS34" s="36">
        <f>Capital!C33</f>
        <v>816.8750877920404</v>
      </c>
      <c r="AT34" s="5">
        <f>Capital!D33</f>
        <v>79.535435365204577</v>
      </c>
      <c r="AU34" s="5">
        <f>Capital!E33</f>
        <v>737.33965242683587</v>
      </c>
      <c r="AV34" s="41">
        <v>493.97</v>
      </c>
      <c r="AW34" s="42">
        <v>339.59</v>
      </c>
      <c r="AX34" s="64">
        <v>154.38</v>
      </c>
      <c r="AZ34" s="36">
        <f t="shared" si="20"/>
        <v>422.8748144599428</v>
      </c>
      <c r="BA34" s="5">
        <f t="shared" si="21"/>
        <v>107.43917128335457</v>
      </c>
      <c r="BB34" s="5">
        <f t="shared" si="22"/>
        <v>108.48782037509696</v>
      </c>
      <c r="BC34" s="5">
        <f t="shared" si="23"/>
        <v>-1.0486490917423859</v>
      </c>
      <c r="BD34" s="5">
        <f t="shared" si="24"/>
        <v>315.4356431765882</v>
      </c>
      <c r="BE34" s="5">
        <f t="shared" si="27"/>
        <v>171.41420016865303</v>
      </c>
      <c r="BF34" s="5">
        <f t="shared" ref="BF34:BF66" si="28">AM34</f>
        <v>123.02153849936721</v>
      </c>
      <c r="BG34" s="5">
        <f t="shared" si="25"/>
        <v>1.4124606578089951</v>
      </c>
      <c r="BH34" s="58">
        <f t="shared" si="26"/>
        <v>22.412365166376969</v>
      </c>
    </row>
    <row r="35" spans="1:60">
      <c r="A35" s="17">
        <f>'60years'!A37</f>
        <v>1981</v>
      </c>
      <c r="B35" s="22">
        <f>'60years'!B37</f>
        <v>100072</v>
      </c>
      <c r="C35" s="41">
        <f>'60years'!C37</f>
        <v>43725</v>
      </c>
      <c r="D35" s="42">
        <f>'60years'!D37</f>
        <v>29777</v>
      </c>
      <c r="E35" s="42">
        <f>'60years'!E37</f>
        <v>8003</v>
      </c>
      <c r="F35" s="42">
        <f>'60years'!F37</f>
        <v>5945</v>
      </c>
      <c r="G35" s="36">
        <f>'60years'!G37</f>
        <v>4891.5610619395911</v>
      </c>
      <c r="H35" s="5">
        <f>'60years'!H37</f>
        <v>1559.4632648993422</v>
      </c>
      <c r="I35" s="5">
        <f>'60years'!I37</f>
        <v>2255.5</v>
      </c>
      <c r="J35" s="5">
        <f>'60years'!J37</f>
        <v>1076.5977970402491</v>
      </c>
      <c r="K35" s="36">
        <f>'60years'!K37</f>
        <v>575.51178867643716</v>
      </c>
      <c r="L35" s="5">
        <f>'60years'!L37</f>
        <v>190.32196152534209</v>
      </c>
      <c r="M35" s="5">
        <f>'60years'!M37</f>
        <v>1909.0881215859565</v>
      </c>
      <c r="N35" s="5">
        <f>'60years'!N37</f>
        <v>495.69874376808548</v>
      </c>
      <c r="O35" s="36">
        <f>'60years'!O37</f>
        <v>3361.5</v>
      </c>
      <c r="P35" s="5">
        <f>'60years'!P37</f>
        <v>2627.9</v>
      </c>
      <c r="Q35" s="5">
        <f>'60years'!Q37</f>
        <v>733.6</v>
      </c>
      <c r="R35" s="5">
        <f>'60years'!R37</f>
        <v>1630.2</v>
      </c>
      <c r="S35" s="5">
        <f>'60years'!S37</f>
        <v>1339.3</v>
      </c>
      <c r="T35" s="5">
        <f>'60years'!T37</f>
        <v>290.89999999999998</v>
      </c>
      <c r="U35" s="5">
        <f>'60years'!U37</f>
        <v>17.100000000000001</v>
      </c>
      <c r="V35" s="22">
        <f>'60years'!V37</f>
        <v>367.6</v>
      </c>
      <c r="W35" s="4">
        <f>'60years'!W37</f>
        <v>367.7</v>
      </c>
      <c r="X35" s="18">
        <f>'60years'!X37</f>
        <v>-9.9999999999965894E-2</v>
      </c>
      <c r="Y35" s="4"/>
      <c r="Z35" s="61">
        <f>V35*TradeCSY!B34-Merge60_CSY!W35*TradeCSY!D34</f>
        <v>-9.5501546716453518</v>
      </c>
      <c r="AA35" s="62">
        <f t="shared" si="0"/>
        <v>-9.4501546716453859</v>
      </c>
      <c r="AB35" s="4"/>
      <c r="AC35" s="63">
        <f t="shared" si="1"/>
        <v>1.0991120966828543</v>
      </c>
      <c r="AD35" s="6">
        <f t="shared" si="2"/>
        <v>1.3567457768042421</v>
      </c>
      <c r="AE35" s="6">
        <f t="shared" si="3"/>
        <v>1.0094049585351328</v>
      </c>
      <c r="AF35" s="6">
        <f t="shared" si="16"/>
        <v>1.3441045294379936</v>
      </c>
      <c r="AG35" s="36">
        <f t="shared" si="4"/>
        <v>445.04660413641477</v>
      </c>
      <c r="AH35" s="5">
        <f t="shared" si="5"/>
        <v>114.94144972189208</v>
      </c>
      <c r="AI35" s="5">
        <f t="shared" si="17"/>
        <v>115.64535128067492</v>
      </c>
      <c r="AJ35" s="5">
        <f t="shared" si="6"/>
        <v>-0.70390155878283556</v>
      </c>
      <c r="AK35" s="5">
        <f t="shared" si="7"/>
        <v>330.1051544145227</v>
      </c>
      <c r="AL35" s="5">
        <f t="shared" si="18"/>
        <v>188.17903671990828</v>
      </c>
      <c r="AM35" s="5">
        <f t="shared" si="19"/>
        <v>121.8529032700157</v>
      </c>
      <c r="AN35" s="5">
        <f t="shared" si="8"/>
        <v>-0.93621044673285791</v>
      </c>
      <c r="AO35" s="5">
        <f>(AK35+AH35)*Defense!B32</f>
        <v>19.137003977865835</v>
      </c>
      <c r="AP35" s="41">
        <f t="shared" si="9"/>
        <v>437.25</v>
      </c>
      <c r="AQ35" s="42">
        <f t="shared" si="10"/>
        <v>297.77</v>
      </c>
      <c r="AR35" s="42">
        <f t="shared" si="11"/>
        <v>139.47999999999999</v>
      </c>
      <c r="AS35" s="36">
        <f>Capital!C34</f>
        <v>899.05287190180559</v>
      </c>
      <c r="AT35" s="5">
        <f>Capital!D34</f>
        <v>86.446459353249807</v>
      </c>
      <c r="AU35" s="5">
        <f>Capital!E34</f>
        <v>812.6064125485558</v>
      </c>
      <c r="AV35" s="41">
        <v>510.39</v>
      </c>
      <c r="AW35" s="42">
        <v>347.58</v>
      </c>
      <c r="AX35" s="64">
        <v>162.81</v>
      </c>
      <c r="AZ35" s="36">
        <f t="shared" si="20"/>
        <v>445.04660413641477</v>
      </c>
      <c r="BA35" s="5">
        <f t="shared" si="21"/>
        <v>114.94144972189208</v>
      </c>
      <c r="BB35" s="5">
        <f t="shared" si="22"/>
        <v>115.64535128067492</v>
      </c>
      <c r="BC35" s="5">
        <f t="shared" si="23"/>
        <v>-0.70390155878283556</v>
      </c>
      <c r="BD35" s="5">
        <f t="shared" si="24"/>
        <v>330.1051544145227</v>
      </c>
      <c r="BE35" s="5">
        <f t="shared" si="27"/>
        <v>188.17903671990828</v>
      </c>
      <c r="BF35" s="5">
        <f t="shared" si="28"/>
        <v>121.8529032700157</v>
      </c>
      <c r="BG35" s="5">
        <f t="shared" si="25"/>
        <v>-0.93621044673285791</v>
      </c>
      <c r="BH35" s="58">
        <f t="shared" si="26"/>
        <v>19.137003977865835</v>
      </c>
    </row>
    <row r="36" spans="1:60">
      <c r="A36" s="17">
        <f>'60years'!A38</f>
        <v>1982</v>
      </c>
      <c r="B36" s="22">
        <f>'60years'!B38</f>
        <v>101654</v>
      </c>
      <c r="C36" s="41">
        <f>'60years'!C38</f>
        <v>45295</v>
      </c>
      <c r="D36" s="42">
        <f>'60years'!D38</f>
        <v>30859</v>
      </c>
      <c r="E36" s="42">
        <f>'60years'!E38</f>
        <v>8346</v>
      </c>
      <c r="F36" s="42">
        <f>'60years'!F38</f>
        <v>6090</v>
      </c>
      <c r="G36" s="36">
        <f>'60years'!G38</f>
        <v>5323.3509646743742</v>
      </c>
      <c r="H36" s="5">
        <f>'60years'!H38</f>
        <v>1777.400677695834</v>
      </c>
      <c r="I36" s="5">
        <f>'60years'!I38</f>
        <v>2383</v>
      </c>
      <c r="J36" s="5">
        <f>'60years'!J38</f>
        <v>1162.9502869785401</v>
      </c>
      <c r="K36" s="36">
        <f>'60years'!K38</f>
        <v>627.63514699688506</v>
      </c>
      <c r="L36" s="5">
        <f>'60years'!L38</f>
        <v>212.26432675203355</v>
      </c>
      <c r="M36" s="5">
        <f>'60years'!M38</f>
        <v>2015.2661720790943</v>
      </c>
      <c r="N36" s="5">
        <f>'60years'!N38</f>
        <v>560.01757504315583</v>
      </c>
      <c r="O36" s="36">
        <f>'60years'!O38</f>
        <v>3714.8</v>
      </c>
      <c r="P36" s="5">
        <f>'60years'!P38</f>
        <v>2902.9</v>
      </c>
      <c r="Q36" s="5">
        <f>'60years'!Q38</f>
        <v>811.9</v>
      </c>
      <c r="R36" s="5">
        <f>'60years'!R38</f>
        <v>1784.2</v>
      </c>
      <c r="S36" s="5">
        <f>'60years'!S38</f>
        <v>1503.2</v>
      </c>
      <c r="T36" s="5">
        <f>'60years'!T38</f>
        <v>281</v>
      </c>
      <c r="U36" s="5">
        <f>'60years'!U38</f>
        <v>91</v>
      </c>
      <c r="V36" s="22">
        <f>'60years'!V38</f>
        <v>413.8</v>
      </c>
      <c r="W36" s="4">
        <f>'60years'!W38</f>
        <v>357.5</v>
      </c>
      <c r="X36" s="18">
        <f>'60years'!X38</f>
        <v>56.3</v>
      </c>
      <c r="Y36" s="4"/>
      <c r="Z36" s="61">
        <f>V36*TradeCSY!B35-Merge60_CSY!W36*TradeCSY!D35</f>
        <v>-14.346733376257674</v>
      </c>
      <c r="AA36" s="62">
        <f t="shared" si="0"/>
        <v>-70.646733376257686</v>
      </c>
      <c r="AB36" s="4"/>
      <c r="AC36" s="63">
        <f t="shared" si="1"/>
        <v>1.096797815124134</v>
      </c>
      <c r="AD36" s="6">
        <f t="shared" si="2"/>
        <v>1.3865022013898085</v>
      </c>
      <c r="AE36" s="6">
        <f t="shared" si="3"/>
        <v>0.99281630791360664</v>
      </c>
      <c r="AF36" s="6">
        <f t="shared" si="16"/>
        <v>1.396534475046576</v>
      </c>
      <c r="AG36" s="36">
        <f t="shared" si="4"/>
        <v>485.35389943969619</v>
      </c>
      <c r="AH36" s="5">
        <f t="shared" si="5"/>
        <v>128.1931378049162</v>
      </c>
      <c r="AI36" s="5">
        <f t="shared" si="17"/>
        <v>129.22788072576239</v>
      </c>
      <c r="AJ36" s="5">
        <f t="shared" si="6"/>
        <v>-1.0347429208461933</v>
      </c>
      <c r="AK36" s="5">
        <f t="shared" si="7"/>
        <v>357.16076163477999</v>
      </c>
      <c r="AL36" s="5">
        <f t="shared" si="18"/>
        <v>193.09194194583858</v>
      </c>
      <c r="AM36" s="5">
        <f t="shared" si="19"/>
        <v>137.05351882287167</v>
      </c>
      <c r="AN36" s="5">
        <f t="shared" si="8"/>
        <v>-7.1157909890421793</v>
      </c>
      <c r="AO36" s="5">
        <f>(AK36+AH36)*Defense!B33</f>
        <v>19.89950987702754</v>
      </c>
      <c r="AP36" s="41">
        <f t="shared" si="9"/>
        <v>452.95</v>
      </c>
      <c r="AQ36" s="42">
        <f t="shared" si="10"/>
        <v>308.58999999999997</v>
      </c>
      <c r="AR36" s="42">
        <f t="shared" si="11"/>
        <v>144.36000000000001</v>
      </c>
      <c r="AS36" s="36">
        <f>Capital!C35</f>
        <v>975.95313157673104</v>
      </c>
      <c r="AT36" s="5">
        <f>Capital!D35</f>
        <v>95.245421794679388</v>
      </c>
      <c r="AU36" s="5">
        <f>Capital!E35</f>
        <v>880.70770978205167</v>
      </c>
      <c r="AV36" s="41">
        <v>526.17999999999995</v>
      </c>
      <c r="AW36" s="42">
        <v>358.48</v>
      </c>
      <c r="AX36" s="64">
        <v>167.7</v>
      </c>
      <c r="AZ36" s="36">
        <f t="shared" si="20"/>
        <v>485.35389943969619</v>
      </c>
      <c r="BA36" s="5">
        <f t="shared" si="21"/>
        <v>128.1931378049162</v>
      </c>
      <c r="BB36" s="5">
        <f t="shared" si="22"/>
        <v>129.22788072576239</v>
      </c>
      <c r="BC36" s="5">
        <f t="shared" si="23"/>
        <v>-1.0347429208461933</v>
      </c>
      <c r="BD36" s="5">
        <f t="shared" si="24"/>
        <v>357.16076163477999</v>
      </c>
      <c r="BE36" s="5">
        <f t="shared" si="27"/>
        <v>193.09194194583858</v>
      </c>
      <c r="BF36" s="5">
        <f t="shared" si="28"/>
        <v>137.05351882287167</v>
      </c>
      <c r="BG36" s="5">
        <f t="shared" si="25"/>
        <v>-7.1157909890421793</v>
      </c>
      <c r="BH36" s="58">
        <f t="shared" si="26"/>
        <v>19.89950987702754</v>
      </c>
    </row>
    <row r="37" spans="1:60">
      <c r="A37" s="17">
        <f>'60years'!A39</f>
        <v>1983</v>
      </c>
      <c r="B37" s="22">
        <f>'60years'!B39</f>
        <v>103008</v>
      </c>
      <c r="C37" s="41">
        <f>'60years'!C39</f>
        <v>46436</v>
      </c>
      <c r="D37" s="42">
        <f>'60years'!D39</f>
        <v>31151</v>
      </c>
      <c r="E37" s="42">
        <f>'60years'!E39</f>
        <v>8679</v>
      </c>
      <c r="F37" s="42">
        <f>'60years'!F39</f>
        <v>6606</v>
      </c>
      <c r="G37" s="36">
        <f>'60years'!G39</f>
        <v>5962.6515683940679</v>
      </c>
      <c r="H37" s="5">
        <f>'60years'!H39</f>
        <v>1978.3874028303767</v>
      </c>
      <c r="I37" s="5">
        <f>'60years'!I39</f>
        <v>2646.2</v>
      </c>
      <c r="J37" s="5">
        <f>'60years'!J39</f>
        <v>1338.0641655636914</v>
      </c>
      <c r="K37" s="36">
        <f>'60years'!K39</f>
        <v>695.75225973077306</v>
      </c>
      <c r="L37" s="5">
        <f>'60years'!L39</f>
        <v>229.93689604102082</v>
      </c>
      <c r="M37" s="5">
        <f>'60years'!M39</f>
        <v>2224.1507419088971</v>
      </c>
      <c r="N37" s="5">
        <f>'60years'!N39</f>
        <v>644.98947007600543</v>
      </c>
      <c r="O37" s="36">
        <f>'60years'!O39</f>
        <v>4126.3999999999996</v>
      </c>
      <c r="P37" s="5">
        <f>'60years'!P39</f>
        <v>3231.1</v>
      </c>
      <c r="Q37" s="5">
        <f>'60years'!Q39</f>
        <v>895.3</v>
      </c>
      <c r="R37" s="5">
        <f>'60years'!R39</f>
        <v>2039</v>
      </c>
      <c r="S37" s="5">
        <f>'60years'!S39</f>
        <v>1723.3</v>
      </c>
      <c r="T37" s="5">
        <f>'60years'!T39</f>
        <v>315.7</v>
      </c>
      <c r="U37" s="5">
        <f>'60years'!U39</f>
        <v>50.8</v>
      </c>
      <c r="V37" s="22">
        <f>'60years'!V39</f>
        <v>438.3</v>
      </c>
      <c r="W37" s="4">
        <f>'60years'!W39</f>
        <v>421.8</v>
      </c>
      <c r="X37" s="18">
        <f>'60years'!X39</f>
        <v>16.5</v>
      </c>
      <c r="Y37" s="4"/>
      <c r="Z37" s="61">
        <f>V37*TradeCSY!B36-Merge60_CSY!W37*TradeCSY!D36</f>
        <v>30.837230919195335</v>
      </c>
      <c r="AA37" s="62">
        <f t="shared" si="0"/>
        <v>14.337230919195335</v>
      </c>
      <c r="AB37" s="4"/>
      <c r="AC37" s="63">
        <f t="shared" si="1"/>
        <v>1.1082392791870088</v>
      </c>
      <c r="AD37" s="6">
        <f t="shared" si="2"/>
        <v>1.4246720631939516</v>
      </c>
      <c r="AE37" s="6">
        <f t="shared" si="3"/>
        <v>0.9981544383352825</v>
      </c>
      <c r="AF37" s="6">
        <f t="shared" si="16"/>
        <v>1.42730624488332</v>
      </c>
      <c r="AG37" s="36">
        <f t="shared" si="4"/>
        <v>538.0292577942372</v>
      </c>
      <c r="AH37" s="5">
        <f t="shared" si="5"/>
        <v>138.86616112869223</v>
      </c>
      <c r="AI37" s="5">
        <f t="shared" si="17"/>
        <v>136.70164680179079</v>
      </c>
      <c r="AJ37" s="5">
        <f t="shared" si="6"/>
        <v>2.164514326901434</v>
      </c>
      <c r="AK37" s="5">
        <f t="shared" si="7"/>
        <v>399.16309666554497</v>
      </c>
      <c r="AL37" s="5">
        <f t="shared" si="18"/>
        <v>222.36125583388923</v>
      </c>
      <c r="AM37" s="5">
        <f t="shared" si="19"/>
        <v>155.49891006066778</v>
      </c>
      <c r="AN37" s="5">
        <f t="shared" si="8"/>
        <v>1.4363740087262353</v>
      </c>
      <c r="AO37" s="5">
        <f>(AK37+AH37)*Defense!B34</f>
        <v>22.739304779714189</v>
      </c>
      <c r="AP37" s="41">
        <f t="shared" si="9"/>
        <v>464.36</v>
      </c>
      <c r="AQ37" s="42">
        <f t="shared" si="10"/>
        <v>311.51</v>
      </c>
      <c r="AR37" s="42">
        <f t="shared" si="11"/>
        <v>152.85</v>
      </c>
      <c r="AS37" s="36">
        <f>Capital!C36</f>
        <v>1064.2089938207662</v>
      </c>
      <c r="AT37" s="5">
        <f>Capital!D36</f>
        <v>103.19202022649507</v>
      </c>
      <c r="AU37" s="5">
        <f>Capital!E36</f>
        <v>961.01697359427112</v>
      </c>
      <c r="AV37" s="41">
        <v>541.16999999999996</v>
      </c>
      <c r="AW37" s="42">
        <v>363.04</v>
      </c>
      <c r="AX37" s="64">
        <v>178.14</v>
      </c>
      <c r="AZ37" s="36">
        <f t="shared" si="20"/>
        <v>538.0292577942372</v>
      </c>
      <c r="BA37" s="5">
        <f t="shared" si="21"/>
        <v>138.86616112869223</v>
      </c>
      <c r="BB37" s="5">
        <f t="shared" si="22"/>
        <v>136.70164680179079</v>
      </c>
      <c r="BC37" s="5">
        <f t="shared" si="23"/>
        <v>2.164514326901434</v>
      </c>
      <c r="BD37" s="5">
        <f t="shared" si="24"/>
        <v>399.16309666554497</v>
      </c>
      <c r="BE37" s="5">
        <f t="shared" si="27"/>
        <v>222.36125583388923</v>
      </c>
      <c r="BF37" s="5">
        <f t="shared" si="28"/>
        <v>155.49891006066778</v>
      </c>
      <c r="BG37" s="5">
        <f t="shared" si="25"/>
        <v>1.4363740087262353</v>
      </c>
      <c r="BH37" s="58">
        <f t="shared" si="26"/>
        <v>22.739304779714189</v>
      </c>
    </row>
    <row r="38" spans="1:60">
      <c r="A38" s="17">
        <f>'60years'!A40</f>
        <v>1984</v>
      </c>
      <c r="B38" s="22">
        <f>'60years'!B40</f>
        <v>104357</v>
      </c>
      <c r="C38" s="41">
        <f>'60years'!C40</f>
        <v>48197</v>
      </c>
      <c r="D38" s="42">
        <f>'60years'!D40</f>
        <v>30868</v>
      </c>
      <c r="E38" s="42">
        <f>'60years'!E40</f>
        <v>9590</v>
      </c>
      <c r="F38" s="42">
        <f>'60years'!F40</f>
        <v>7739</v>
      </c>
      <c r="G38" s="36">
        <f>'60years'!G40</f>
        <v>7208.0517183600787</v>
      </c>
      <c r="H38" s="5">
        <f>'60years'!H40</f>
        <v>2316.0894957145706</v>
      </c>
      <c r="I38" s="5">
        <f>'60years'!I40</f>
        <v>3105.7</v>
      </c>
      <c r="J38" s="5">
        <f>'60years'!J40</f>
        <v>1786.2622226455087</v>
      </c>
      <c r="K38" s="36">
        <f>'60years'!K40</f>
        <v>801.3397701548314</v>
      </c>
      <c r="L38" s="5">
        <f>'60years'!L40</f>
        <v>259.55457420709001</v>
      </c>
      <c r="M38" s="5">
        <f>'60years'!M40</f>
        <v>2546.2410960364073</v>
      </c>
      <c r="N38" s="5">
        <f>'60years'!N40</f>
        <v>769.78970874571326</v>
      </c>
      <c r="O38" s="36">
        <f>'60years'!O40</f>
        <v>4846.3</v>
      </c>
      <c r="P38" s="5">
        <f>'60years'!P40</f>
        <v>3742</v>
      </c>
      <c r="Q38" s="5">
        <f>'60years'!Q40</f>
        <v>1104.3</v>
      </c>
      <c r="R38" s="5">
        <f>'60years'!R40</f>
        <v>2515.1</v>
      </c>
      <c r="S38" s="5">
        <f>'60years'!S40</f>
        <v>2147</v>
      </c>
      <c r="T38" s="5">
        <f>'60years'!T40</f>
        <v>368.1</v>
      </c>
      <c r="U38" s="5">
        <f>'60years'!U40</f>
        <v>1.3</v>
      </c>
      <c r="V38" s="22">
        <f>'60years'!V40</f>
        <v>580.5</v>
      </c>
      <c r="W38" s="4">
        <f>'60years'!W40</f>
        <v>620.5</v>
      </c>
      <c r="X38" s="18">
        <f>'60years'!X40</f>
        <v>-40</v>
      </c>
      <c r="Y38" s="4"/>
      <c r="Z38" s="61">
        <f>V38*TradeCSY!B37-Merge60_CSY!W38*TradeCSY!D37</f>
        <v>46.710180661003832</v>
      </c>
      <c r="AA38" s="62">
        <f t="shared" ref="AA38:AA66" si="29">-V38+W38+Z38</f>
        <v>86.710180661003832</v>
      </c>
      <c r="AB38" s="4"/>
      <c r="AC38" s="63">
        <f t="shared" ref="AC38:AC66" si="30">G38/AG38/10</f>
        <v>1.1631880436650859</v>
      </c>
      <c r="AD38" s="6">
        <f t="shared" ref="AD38:AD66" si="31">H38/AH38/10</f>
        <v>1.4775387669117621</v>
      </c>
      <c r="AE38" s="6">
        <f t="shared" ref="AE38:AE66" si="32">(I38+J38)/AK38/10</f>
        <v>1.0567448354697615</v>
      </c>
      <c r="AF38" s="6">
        <f t="shared" si="16"/>
        <v>1.3981982379454378</v>
      </c>
      <c r="AG38" s="36">
        <f t="shared" ref="AG38:AG66" si="33">G$32/K$32*K38/10</f>
        <v>619.68069200988771</v>
      </c>
      <c r="AH38" s="5">
        <f t="shared" ref="AH38:AH66" si="34">H$32/L$32*L38/10</f>
        <v>156.75321335598409</v>
      </c>
      <c r="AI38" s="5">
        <f t="shared" si="17"/>
        <v>153.59186275679582</v>
      </c>
      <c r="AJ38" s="5">
        <f t="shared" ref="AJ38:AJ66" si="35">AH38*Z38/H38</f>
        <v>3.1613505991882609</v>
      </c>
      <c r="AK38" s="5">
        <f t="shared" ref="AK38:AK66" si="36">AG38-AH38</f>
        <v>462.92747865390362</v>
      </c>
      <c r="AL38" s="5">
        <f t="shared" si="18"/>
        <v>264.21523369407714</v>
      </c>
      <c r="AM38" s="5">
        <f t="shared" ref="AM38:AM66" si="37">S38/G38*AG38</f>
        <v>184.57892614121306</v>
      </c>
      <c r="AN38" s="5">
        <f t="shared" ref="AN38:AN66" si="38">AK38*AA38/(I38+J38)</f>
        <v>8.2054037787142828</v>
      </c>
      <c r="AO38" s="5">
        <f>(AK38+AH38)*Defense!B35</f>
        <v>22.338722597327724</v>
      </c>
      <c r="AP38" s="41">
        <f t="shared" ref="AP38:AP62" si="39">C38/100</f>
        <v>481.97</v>
      </c>
      <c r="AQ38" s="42">
        <f t="shared" ref="AQ38:AQ62" si="40">D38/100</f>
        <v>308.68</v>
      </c>
      <c r="AR38" s="42">
        <f t="shared" ref="AR38:AR62" si="41">(E38+F38)/100</f>
        <v>173.29</v>
      </c>
      <c r="AS38" s="36">
        <f>Capital!C37</f>
        <v>1166.4974541903957</v>
      </c>
      <c r="AT38" s="5">
        <f>Capital!D37</f>
        <v>103.53175944540965</v>
      </c>
      <c r="AU38" s="5">
        <f>Capital!E37</f>
        <v>1062.9656947449862</v>
      </c>
      <c r="AV38" s="41">
        <v>558.1</v>
      </c>
      <c r="AW38" s="42">
        <v>357.43</v>
      </c>
      <c r="AX38" s="64">
        <v>200.66</v>
      </c>
      <c r="AZ38" s="36">
        <f t="shared" si="20"/>
        <v>619.68069200988771</v>
      </c>
      <c r="BA38" s="5">
        <f t="shared" si="21"/>
        <v>156.75321335598409</v>
      </c>
      <c r="BB38" s="5">
        <f t="shared" si="22"/>
        <v>153.59186275679582</v>
      </c>
      <c r="BC38" s="5">
        <f t="shared" si="23"/>
        <v>3.1613505991882609</v>
      </c>
      <c r="BD38" s="5">
        <f t="shared" si="24"/>
        <v>462.92747865390362</v>
      </c>
      <c r="BE38" s="5">
        <f t="shared" si="27"/>
        <v>264.21523369407714</v>
      </c>
      <c r="BF38" s="5">
        <f t="shared" si="28"/>
        <v>184.57892614121306</v>
      </c>
      <c r="BG38" s="5">
        <f t="shared" si="25"/>
        <v>8.2054037787142828</v>
      </c>
      <c r="BH38" s="58">
        <f t="shared" si="26"/>
        <v>22.338722597327724</v>
      </c>
    </row>
    <row r="39" spans="1:60">
      <c r="A39" s="17">
        <f>'60years'!A41</f>
        <v>1985</v>
      </c>
      <c r="B39" s="22">
        <f>'60years'!B41</f>
        <v>105851</v>
      </c>
      <c r="C39" s="41">
        <f>'60years'!C41</f>
        <v>49873</v>
      </c>
      <c r="D39" s="42">
        <f>'60years'!D41</f>
        <v>31130</v>
      </c>
      <c r="E39" s="42">
        <f>'60years'!E41</f>
        <v>10384</v>
      </c>
      <c r="F39" s="42">
        <f>'60years'!F41</f>
        <v>8359</v>
      </c>
      <c r="G39" s="36">
        <f>'60years'!G41</f>
        <v>9016.0365806124828</v>
      </c>
      <c r="H39" s="5">
        <f>'60years'!H41</f>
        <v>2564.3968905720549</v>
      </c>
      <c r="I39" s="5">
        <f>'60years'!I41</f>
        <v>3866.6</v>
      </c>
      <c r="J39" s="5">
        <f>'60years'!J41</f>
        <v>2585.039690040428</v>
      </c>
      <c r="K39" s="36">
        <f>'60years'!K41</f>
        <v>909.24972695329643</v>
      </c>
      <c r="L39" s="5">
        <f>'60years'!L41</f>
        <v>264.34035756929023</v>
      </c>
      <c r="M39" s="5">
        <f>'60years'!M41</f>
        <v>3019.046705249872</v>
      </c>
      <c r="N39" s="5">
        <f>'60years'!N41</f>
        <v>909.59438014872194</v>
      </c>
      <c r="O39" s="36">
        <f>'60years'!O41</f>
        <v>5986.3</v>
      </c>
      <c r="P39" s="5">
        <f>'60years'!P41</f>
        <v>4687.3999999999996</v>
      </c>
      <c r="Q39" s="5">
        <f>'60years'!Q41</f>
        <v>1298.9000000000001</v>
      </c>
      <c r="R39" s="5">
        <f>'60years'!R41</f>
        <v>3457.5</v>
      </c>
      <c r="S39" s="5">
        <f>'60years'!S41</f>
        <v>2672</v>
      </c>
      <c r="T39" s="5">
        <f>'60years'!T41</f>
        <v>785.5</v>
      </c>
      <c r="U39" s="5">
        <f>'60years'!U41</f>
        <v>-367.1</v>
      </c>
      <c r="V39" s="22">
        <f>'60years'!V41</f>
        <v>808.9</v>
      </c>
      <c r="W39" s="4">
        <f>'60years'!W41</f>
        <v>1257.8</v>
      </c>
      <c r="X39" s="18">
        <f>'60years'!X41</f>
        <v>-448.9</v>
      </c>
      <c r="Y39" s="4"/>
      <c r="Z39" s="61">
        <f>V39*TradeCSY!B38-Merge60_CSY!W39*TradeCSY!D38</f>
        <v>63.579737393866097</v>
      </c>
      <c r="AA39" s="62">
        <f t="shared" si="29"/>
        <v>512.47973739386612</v>
      </c>
      <c r="AB39" s="4"/>
      <c r="AC39" s="63">
        <f t="shared" si="30"/>
        <v>1.2822751275609494</v>
      </c>
      <c r="AD39" s="6">
        <f t="shared" si="31"/>
        <v>1.6063271620039132</v>
      </c>
      <c r="AE39" s="6">
        <f t="shared" si="32"/>
        <v>1.1870878824549029</v>
      </c>
      <c r="AF39" s="6">
        <f t="shared" si="16"/>
        <v>1.3531661688619225</v>
      </c>
      <c r="AG39" s="36">
        <f t="shared" si="33"/>
        <v>703.12808747699353</v>
      </c>
      <c r="AH39" s="5">
        <f t="shared" si="34"/>
        <v>159.64349923417456</v>
      </c>
      <c r="AI39" s="5">
        <f t="shared" si="17"/>
        <v>155.68541778614937</v>
      </c>
      <c r="AJ39" s="5">
        <f t="shared" si="35"/>
        <v>3.9580814480251698</v>
      </c>
      <c r="AK39" s="5">
        <f t="shared" si="36"/>
        <v>543.48458824281897</v>
      </c>
      <c r="AL39" s="5">
        <f t="shared" si="18"/>
        <v>355.98835240299167</v>
      </c>
      <c r="AM39" s="5">
        <f t="shared" si="37"/>
        <v>208.37961702357001</v>
      </c>
      <c r="AN39" s="5">
        <f t="shared" si="38"/>
        <v>43.171170809532299</v>
      </c>
      <c r="AO39" s="5">
        <f>(AK39+AH39)*Defense!B36</f>
        <v>22.287789625789586</v>
      </c>
      <c r="AP39" s="41">
        <f t="shared" si="39"/>
        <v>498.73</v>
      </c>
      <c r="AQ39" s="42">
        <f t="shared" si="40"/>
        <v>311.3</v>
      </c>
      <c r="AR39" s="42">
        <f t="shared" si="41"/>
        <v>187.43</v>
      </c>
      <c r="AS39" s="36">
        <f>Capital!C38</f>
        <v>1292.7515076220889</v>
      </c>
      <c r="AT39" s="5">
        <f>Capital!D38</f>
        <v>108.52309341205118</v>
      </c>
      <c r="AU39" s="5">
        <f>Capital!E38</f>
        <v>1184.2284142100377</v>
      </c>
      <c r="AV39" s="41">
        <v>575.51</v>
      </c>
      <c r="AW39" s="42">
        <v>359.22</v>
      </c>
      <c r="AX39" s="64">
        <v>216.29</v>
      </c>
      <c r="AZ39" s="36">
        <f t="shared" si="20"/>
        <v>703.12808747699353</v>
      </c>
      <c r="BA39" s="5">
        <f t="shared" si="21"/>
        <v>159.64349923417456</v>
      </c>
      <c r="BB39" s="5">
        <f t="shared" si="22"/>
        <v>155.68541778614937</v>
      </c>
      <c r="BC39" s="5">
        <f t="shared" si="23"/>
        <v>3.9580814480251698</v>
      </c>
      <c r="BD39" s="5">
        <f t="shared" si="24"/>
        <v>543.48458824281897</v>
      </c>
      <c r="BE39" s="5">
        <f t="shared" si="27"/>
        <v>355.98835240299167</v>
      </c>
      <c r="BF39" s="5">
        <f t="shared" si="28"/>
        <v>208.37961702357001</v>
      </c>
      <c r="BG39" s="5">
        <f t="shared" si="25"/>
        <v>43.171170809532299</v>
      </c>
      <c r="BH39" s="58">
        <f t="shared" si="26"/>
        <v>22.287789625789586</v>
      </c>
    </row>
    <row r="40" spans="1:60">
      <c r="A40" s="17">
        <f>'60years'!A42</f>
        <v>1986</v>
      </c>
      <c r="B40" s="22">
        <f>'60years'!B42</f>
        <v>107507</v>
      </c>
      <c r="C40" s="41">
        <f>'60years'!C42</f>
        <v>51282</v>
      </c>
      <c r="D40" s="42">
        <f>'60years'!D42</f>
        <v>31254</v>
      </c>
      <c r="E40" s="42">
        <f>'60years'!E42</f>
        <v>11216</v>
      </c>
      <c r="F40" s="42">
        <f>'60years'!F42</f>
        <v>8811</v>
      </c>
      <c r="G40" s="36">
        <f>'60years'!G42</f>
        <v>10275.179216424738</v>
      </c>
      <c r="H40" s="5">
        <f>'60years'!H42</f>
        <v>2788.6908112417782</v>
      </c>
      <c r="I40" s="5">
        <f>'60years'!I42</f>
        <v>4492.7</v>
      </c>
      <c r="J40" s="5">
        <f>'60years'!J42</f>
        <v>2993.7884051829597</v>
      </c>
      <c r="K40" s="36">
        <f>'60years'!K42</f>
        <v>989.68538256999136</v>
      </c>
      <c r="L40" s="5">
        <f>'60years'!L42</f>
        <v>273.11214378572191</v>
      </c>
      <c r="M40" s="5">
        <f>'60years'!M42</f>
        <v>3327.5896207179717</v>
      </c>
      <c r="N40" s="5">
        <f>'60years'!N42</f>
        <v>1019.1492755516603</v>
      </c>
      <c r="O40" s="36">
        <f>'60years'!O42</f>
        <v>6821.8</v>
      </c>
      <c r="P40" s="5">
        <f>'60years'!P42</f>
        <v>5302.1</v>
      </c>
      <c r="Q40" s="5">
        <f>'60years'!Q42</f>
        <v>1519.7</v>
      </c>
      <c r="R40" s="5">
        <f>'60years'!R42</f>
        <v>3941.9</v>
      </c>
      <c r="S40" s="5">
        <f>'60years'!S42</f>
        <v>3139.7</v>
      </c>
      <c r="T40" s="5">
        <f>'60years'!T42</f>
        <v>802.2</v>
      </c>
      <c r="U40" s="5">
        <f>'60years'!U42</f>
        <v>-255.2</v>
      </c>
      <c r="V40" s="22">
        <f>'60years'!V42</f>
        <v>1082.0999999999999</v>
      </c>
      <c r="W40" s="4">
        <f>'60years'!W42</f>
        <v>1498.3</v>
      </c>
      <c r="X40" s="18">
        <f>'60years'!X42</f>
        <v>-416.2</v>
      </c>
      <c r="Y40" s="4"/>
      <c r="Z40" s="61">
        <f>V40*TradeCSY!B39-Merge60_CSY!W40*TradeCSY!D39</f>
        <v>74.263786715908012</v>
      </c>
      <c r="AA40" s="62">
        <f t="shared" si="29"/>
        <v>490.46378671590804</v>
      </c>
      <c r="AB40" s="4"/>
      <c r="AC40" s="63">
        <f t="shared" si="30"/>
        <v>1.3425825000656932</v>
      </c>
      <c r="AD40" s="6">
        <f t="shared" si="31"/>
        <v>1.6907196065822749</v>
      </c>
      <c r="AE40" s="6">
        <f t="shared" si="32"/>
        <v>1.2469409055704803</v>
      </c>
      <c r="AF40" s="6">
        <f t="shared" si="16"/>
        <v>1.3558939313236855</v>
      </c>
      <c r="AG40" s="36">
        <f t="shared" si="33"/>
        <v>765.32944649002718</v>
      </c>
      <c r="AH40" s="5">
        <f t="shared" si="34"/>
        <v>164.94105825619482</v>
      </c>
      <c r="AI40" s="5">
        <f t="shared" si="17"/>
        <v>160.54862166133984</v>
      </c>
      <c r="AJ40" s="5">
        <f t="shared" si="35"/>
        <v>4.3924365948549813</v>
      </c>
      <c r="AK40" s="5">
        <f t="shared" si="36"/>
        <v>600.3883882338323</v>
      </c>
      <c r="AL40" s="5">
        <f t="shared" si="18"/>
        <v>383.98540171835543</v>
      </c>
      <c r="AM40" s="5">
        <f t="shared" si="37"/>
        <v>233.85527517648805</v>
      </c>
      <c r="AN40" s="5">
        <f t="shared" si="38"/>
        <v>39.333362513399855</v>
      </c>
      <c r="AO40" s="5">
        <f>(AK40+AH40)*Defense!B37</f>
        <v>21.881073852388703</v>
      </c>
      <c r="AP40" s="41">
        <f t="shared" si="39"/>
        <v>512.82000000000005</v>
      </c>
      <c r="AQ40" s="42">
        <f t="shared" si="40"/>
        <v>312.54000000000002</v>
      </c>
      <c r="AR40" s="42">
        <f t="shared" si="41"/>
        <v>200.27</v>
      </c>
      <c r="AS40" s="36">
        <f>Capital!C39</f>
        <v>1436.4935492645545</v>
      </c>
      <c r="AT40" s="5">
        <f>Capital!D39</f>
        <v>115.20078939691406</v>
      </c>
      <c r="AU40" s="5">
        <f>Capital!E39</f>
        <v>1321.2927598676404</v>
      </c>
      <c r="AV40" s="41">
        <v>591.51</v>
      </c>
      <c r="AW40" s="42">
        <v>360.51</v>
      </c>
      <c r="AX40" s="64">
        <v>231</v>
      </c>
      <c r="AZ40" s="36">
        <f t="shared" si="20"/>
        <v>765.32944649002718</v>
      </c>
      <c r="BA40" s="5">
        <f t="shared" si="21"/>
        <v>164.94105825619482</v>
      </c>
      <c r="BB40" s="5">
        <f t="shared" si="22"/>
        <v>160.54862166133984</v>
      </c>
      <c r="BC40" s="5">
        <f t="shared" si="23"/>
        <v>4.3924365948549813</v>
      </c>
      <c r="BD40" s="5">
        <f t="shared" si="24"/>
        <v>600.3883882338323</v>
      </c>
      <c r="BE40" s="5">
        <f t="shared" si="27"/>
        <v>383.98540171835543</v>
      </c>
      <c r="BF40" s="5">
        <f t="shared" si="28"/>
        <v>233.85527517648805</v>
      </c>
      <c r="BG40" s="5">
        <f t="shared" si="25"/>
        <v>39.333362513399855</v>
      </c>
      <c r="BH40" s="58">
        <f t="shared" si="26"/>
        <v>21.881073852388703</v>
      </c>
    </row>
    <row r="41" spans="1:60">
      <c r="A41" s="17">
        <f>'60years'!A43</f>
        <v>1987</v>
      </c>
      <c r="B41" s="22">
        <f>'60years'!B43</f>
        <v>109300</v>
      </c>
      <c r="C41" s="41">
        <f>'60years'!C43</f>
        <v>52783</v>
      </c>
      <c r="D41" s="42">
        <f>'60years'!D43</f>
        <v>31663</v>
      </c>
      <c r="E41" s="42">
        <f>'60years'!E43</f>
        <v>11726</v>
      </c>
      <c r="F41" s="42">
        <f>'60years'!F43</f>
        <v>9395</v>
      </c>
      <c r="G41" s="36">
        <f>'60years'!G43</f>
        <v>12058.615125134151</v>
      </c>
      <c r="H41" s="5">
        <f>'60years'!H43</f>
        <v>3233.0409806657367</v>
      </c>
      <c r="I41" s="5">
        <f>'60years'!I43</f>
        <v>5251.6</v>
      </c>
      <c r="J41" s="5">
        <f>'60years'!J43</f>
        <v>3573.9741444684132</v>
      </c>
      <c r="K41" s="36">
        <f>'60years'!K43</f>
        <v>1104.3232510303976</v>
      </c>
      <c r="L41" s="5">
        <f>'60years'!L43</f>
        <v>285.96023065567169</v>
      </c>
      <c r="M41" s="5">
        <f>'60years'!M43</f>
        <v>3783.2915886239284</v>
      </c>
      <c r="N41" s="5">
        <f>'60years'!N43</f>
        <v>1165.457817279316</v>
      </c>
      <c r="O41" s="36">
        <f>'60years'!O43</f>
        <v>7804.6</v>
      </c>
      <c r="P41" s="5">
        <f>'60years'!P43</f>
        <v>6126.1</v>
      </c>
      <c r="Q41" s="5">
        <f>'60years'!Q43</f>
        <v>1678.5</v>
      </c>
      <c r="R41" s="5">
        <f>'60years'!R43</f>
        <v>4462</v>
      </c>
      <c r="S41" s="5">
        <f>'60years'!S43</f>
        <v>3798.7</v>
      </c>
      <c r="T41" s="5">
        <f>'60years'!T43</f>
        <v>663.3</v>
      </c>
      <c r="U41" s="5">
        <f>'60years'!U43</f>
        <v>10.8</v>
      </c>
      <c r="V41" s="22">
        <f>'60years'!V43</f>
        <v>1470</v>
      </c>
      <c r="W41" s="4">
        <f>'60years'!W43</f>
        <v>1614.2</v>
      </c>
      <c r="X41" s="18">
        <f>'60years'!X43</f>
        <v>-144.19999999999999</v>
      </c>
      <c r="Y41" s="4"/>
      <c r="Z41" s="61">
        <f>V41*TradeCSY!B40-Merge60_CSY!W41*TradeCSY!D40</f>
        <v>100.46185167406817</v>
      </c>
      <c r="AA41" s="62">
        <f t="shared" si="29"/>
        <v>244.6618516740682</v>
      </c>
      <c r="AB41" s="4"/>
      <c r="AC41" s="63">
        <f t="shared" si="30"/>
        <v>1.4120495942994664</v>
      </c>
      <c r="AD41" s="6">
        <f t="shared" si="31"/>
        <v>1.8720515581706638</v>
      </c>
      <c r="AE41" s="6">
        <f t="shared" si="32"/>
        <v>1.2954416896763399</v>
      </c>
      <c r="AF41" s="6">
        <f t="shared" si="16"/>
        <v>1.4451067717593582</v>
      </c>
      <c r="AG41" s="36">
        <f t="shared" si="33"/>
        <v>853.97957506701914</v>
      </c>
      <c r="AH41" s="5">
        <f t="shared" si="34"/>
        <v>172.70042411785965</v>
      </c>
      <c r="AI41" s="5">
        <f t="shared" si="17"/>
        <v>167.33402001239594</v>
      </c>
      <c r="AJ41" s="5">
        <f t="shared" si="35"/>
        <v>5.3664041054637259</v>
      </c>
      <c r="AK41" s="5">
        <f t="shared" si="36"/>
        <v>681.27915094915943</v>
      </c>
      <c r="AL41" s="5">
        <f t="shared" si="18"/>
        <v>408.8527009926085</v>
      </c>
      <c r="AM41" s="5">
        <f t="shared" si="37"/>
        <v>269.02029612384666</v>
      </c>
      <c r="AN41" s="5">
        <f t="shared" si="38"/>
        <v>18.886365447694974</v>
      </c>
      <c r="AO41" s="5">
        <f>(AK41+AH41)*Defense!B38</f>
        <v>22.292519280399212</v>
      </c>
      <c r="AP41" s="41">
        <f t="shared" si="39"/>
        <v>527.83000000000004</v>
      </c>
      <c r="AQ41" s="42">
        <f t="shared" si="40"/>
        <v>316.63</v>
      </c>
      <c r="AR41" s="42">
        <f t="shared" si="41"/>
        <v>211.21</v>
      </c>
      <c r="AS41" s="36">
        <f>Capital!C40</f>
        <v>1598.5241469778148</v>
      </c>
      <c r="AT41" s="5">
        <f>Capital!D40</f>
        <v>128.62471586831387</v>
      </c>
      <c r="AU41" s="5">
        <f>Capital!E40</f>
        <v>1469.8994311095009</v>
      </c>
      <c r="AV41" s="41">
        <v>607.44000000000005</v>
      </c>
      <c r="AW41" s="42">
        <v>364.38</v>
      </c>
      <c r="AX41" s="64">
        <v>243.06</v>
      </c>
      <c r="AZ41" s="36">
        <f t="shared" si="20"/>
        <v>853.97957506701914</v>
      </c>
      <c r="BA41" s="5">
        <f t="shared" si="21"/>
        <v>172.70042411785965</v>
      </c>
      <c r="BB41" s="5">
        <f t="shared" si="22"/>
        <v>167.33402001239594</v>
      </c>
      <c r="BC41" s="5">
        <f t="shared" si="23"/>
        <v>5.3664041054637259</v>
      </c>
      <c r="BD41" s="5">
        <f t="shared" si="24"/>
        <v>681.27915094915943</v>
      </c>
      <c r="BE41" s="5">
        <f t="shared" si="27"/>
        <v>408.8527009926085</v>
      </c>
      <c r="BF41" s="5">
        <f t="shared" si="28"/>
        <v>269.02029612384666</v>
      </c>
      <c r="BG41" s="5">
        <f t="shared" si="25"/>
        <v>18.886365447694974</v>
      </c>
      <c r="BH41" s="58">
        <f t="shared" si="26"/>
        <v>22.292519280399212</v>
      </c>
    </row>
    <row r="42" spans="1:60">
      <c r="A42" s="17">
        <f>'60years'!A44</f>
        <v>1988</v>
      </c>
      <c r="B42" s="22">
        <f>'60years'!B44</f>
        <v>111026</v>
      </c>
      <c r="C42" s="41">
        <f>'60years'!C44</f>
        <v>54334</v>
      </c>
      <c r="D42" s="42">
        <f>'60years'!D44</f>
        <v>32249</v>
      </c>
      <c r="E42" s="42">
        <f>'60years'!E44</f>
        <v>12152</v>
      </c>
      <c r="F42" s="42">
        <f>'60years'!F44</f>
        <v>9933</v>
      </c>
      <c r="G42" s="36">
        <f>'60years'!G44</f>
        <v>15042.823010095724</v>
      </c>
      <c r="H42" s="5">
        <f>'60years'!H44</f>
        <v>3865.3621686266692</v>
      </c>
      <c r="I42" s="5">
        <f>'60years'!I44</f>
        <v>6587.2</v>
      </c>
      <c r="J42" s="5">
        <f>'60years'!J44</f>
        <v>4590.2608414690558</v>
      </c>
      <c r="K42" s="36">
        <f>'60years'!K44</f>
        <v>1228.8973591338838</v>
      </c>
      <c r="L42" s="5">
        <f>'60years'!L44</f>
        <v>293.23565334106496</v>
      </c>
      <c r="M42" s="5">
        <f>'60years'!M44</f>
        <v>4332.5555547714466</v>
      </c>
      <c r="N42" s="5">
        <f>'60years'!N44</f>
        <v>1318.8295554743549</v>
      </c>
      <c r="O42" s="36">
        <f>'60years'!O44</f>
        <v>9839.5</v>
      </c>
      <c r="P42" s="5">
        <f>'60years'!P44</f>
        <v>7868.1</v>
      </c>
      <c r="Q42" s="5">
        <f>'60years'!Q44</f>
        <v>1971.4</v>
      </c>
      <c r="R42" s="5">
        <f>'60years'!R44</f>
        <v>5700.2</v>
      </c>
      <c r="S42" s="5">
        <f>'60years'!S44</f>
        <v>4701.8999999999996</v>
      </c>
      <c r="T42" s="5">
        <f>'60years'!T44</f>
        <v>998.3</v>
      </c>
      <c r="U42" s="5">
        <f>'60years'!U44</f>
        <v>-151.1</v>
      </c>
      <c r="V42" s="22">
        <f>'60years'!V44</f>
        <v>1766.7</v>
      </c>
      <c r="W42" s="4">
        <f>'60years'!W44</f>
        <v>2055.1</v>
      </c>
      <c r="X42" s="18">
        <f>'60years'!X44</f>
        <v>-288.39999999999998</v>
      </c>
      <c r="Y42" s="4"/>
      <c r="Z42" s="61">
        <f>V42*TradeCSY!B41-Merge60_CSY!W42*TradeCSY!D41</f>
        <v>85.869189415323802</v>
      </c>
      <c r="AA42" s="62">
        <f t="shared" si="29"/>
        <v>374.26918941532369</v>
      </c>
      <c r="AB42" s="4"/>
      <c r="AC42" s="63">
        <f t="shared" si="30"/>
        <v>1.5829327602147256</v>
      </c>
      <c r="AD42" s="6">
        <f t="shared" si="31"/>
        <v>2.1826578064895488</v>
      </c>
      <c r="AE42" s="6">
        <f t="shared" si="32"/>
        <v>1.4455747121409952</v>
      </c>
      <c r="AF42" s="6">
        <f t="shared" si="16"/>
        <v>1.5098893112600753</v>
      </c>
      <c r="AG42" s="36">
        <f t="shared" si="33"/>
        <v>950.31345538992809</v>
      </c>
      <c r="AH42" s="5">
        <f t="shared" si="34"/>
        <v>177.09428189494702</v>
      </c>
      <c r="AI42" s="5">
        <f t="shared" si="17"/>
        <v>173.1601246871605</v>
      </c>
      <c r="AJ42" s="5">
        <f t="shared" si="35"/>
        <v>3.9341572077865221</v>
      </c>
      <c r="AK42" s="5">
        <f t="shared" si="36"/>
        <v>773.21917349498108</v>
      </c>
      <c r="AL42" s="5">
        <f t="shared" si="18"/>
        <v>479.62795357568609</v>
      </c>
      <c r="AM42" s="5">
        <f t="shared" si="37"/>
        <v>297.03725377205438</v>
      </c>
      <c r="AN42" s="5">
        <f t="shared" si="38"/>
        <v>25.890684602596938</v>
      </c>
      <c r="AO42" s="5">
        <f>(AK42+AH42)*Defense!B39</f>
        <v>22.444650749837564</v>
      </c>
      <c r="AP42" s="41">
        <f t="shared" si="39"/>
        <v>543.34</v>
      </c>
      <c r="AQ42" s="42">
        <f t="shared" si="40"/>
        <v>322.49</v>
      </c>
      <c r="AR42" s="42">
        <f t="shared" si="41"/>
        <v>220.85</v>
      </c>
      <c r="AS42" s="36">
        <f>Capital!C41</f>
        <v>1787.6182357527707</v>
      </c>
      <c r="AT42" s="5">
        <f>Capital!D41</f>
        <v>137.85865335842814</v>
      </c>
      <c r="AU42" s="5">
        <f>Capital!E41</f>
        <v>1649.7595823943425</v>
      </c>
      <c r="AV42" s="41">
        <v>622.4</v>
      </c>
      <c r="AW42" s="42">
        <v>369.39</v>
      </c>
      <c r="AX42" s="64">
        <v>253</v>
      </c>
      <c r="AZ42" s="36">
        <f t="shared" si="20"/>
        <v>950.31345538992809</v>
      </c>
      <c r="BA42" s="5">
        <f t="shared" si="21"/>
        <v>177.09428189494702</v>
      </c>
      <c r="BB42" s="5">
        <f t="shared" si="22"/>
        <v>173.1601246871605</v>
      </c>
      <c r="BC42" s="5">
        <f t="shared" si="23"/>
        <v>3.9341572077865221</v>
      </c>
      <c r="BD42" s="5">
        <f t="shared" si="24"/>
        <v>773.21917349498108</v>
      </c>
      <c r="BE42" s="5">
        <f t="shared" si="27"/>
        <v>479.62795357568609</v>
      </c>
      <c r="BF42" s="5">
        <f t="shared" si="28"/>
        <v>297.03725377205438</v>
      </c>
      <c r="BG42" s="5">
        <f t="shared" si="25"/>
        <v>25.890684602596938</v>
      </c>
      <c r="BH42" s="58">
        <f t="shared" si="26"/>
        <v>22.444650749837564</v>
      </c>
    </row>
    <row r="43" spans="1:60">
      <c r="A43" s="17">
        <f>'60years'!A45</f>
        <v>1989</v>
      </c>
      <c r="B43" s="22">
        <f>'60years'!B45</f>
        <v>112704</v>
      </c>
      <c r="C43" s="41">
        <f>'60years'!C45</f>
        <v>55329</v>
      </c>
      <c r="D43" s="42">
        <f>'60years'!D45</f>
        <v>33225</v>
      </c>
      <c r="E43" s="42">
        <f>'60years'!E45</f>
        <v>11976</v>
      </c>
      <c r="F43" s="42">
        <f>'60years'!F45</f>
        <v>10129</v>
      </c>
      <c r="G43" s="36">
        <f>'60years'!G45</f>
        <v>16992.319107226751</v>
      </c>
      <c r="H43" s="5">
        <f>'60years'!H45</f>
        <v>4265.9230615905917</v>
      </c>
      <c r="I43" s="5">
        <f>'60years'!I45</f>
        <v>7278</v>
      </c>
      <c r="J43" s="5">
        <f>'60years'!J45</f>
        <v>5448.3960456361601</v>
      </c>
      <c r="K43" s="36">
        <f>'60years'!K45</f>
        <v>1278.8299561836284</v>
      </c>
      <c r="L43" s="5">
        <f>'60years'!L45</f>
        <v>302.25253358413221</v>
      </c>
      <c r="M43" s="5">
        <f>'60years'!M45</f>
        <v>4495.8021906173553</v>
      </c>
      <c r="N43" s="5">
        <f>'60years'!N45</f>
        <v>1389.5218047052413</v>
      </c>
      <c r="O43" s="36">
        <f>'60years'!O45</f>
        <v>11164.2</v>
      </c>
      <c r="P43" s="5">
        <f>'60years'!P45</f>
        <v>8812.6</v>
      </c>
      <c r="Q43" s="5">
        <f>'60years'!Q45</f>
        <v>2351.6</v>
      </c>
      <c r="R43" s="5">
        <f>'60years'!R45</f>
        <v>6332.7</v>
      </c>
      <c r="S43" s="5">
        <f>'60years'!S45</f>
        <v>4419.3999999999996</v>
      </c>
      <c r="T43" s="5">
        <f>'60years'!T45</f>
        <v>1913.3</v>
      </c>
      <c r="U43" s="5">
        <f>'60years'!U45</f>
        <v>-185.6</v>
      </c>
      <c r="V43" s="22">
        <f>'60years'!V45</f>
        <v>1956</v>
      </c>
      <c r="W43" s="4">
        <f>'60years'!W45</f>
        <v>2199.9</v>
      </c>
      <c r="X43" s="18">
        <f>'60years'!X45</f>
        <v>-243.9</v>
      </c>
      <c r="Y43" s="4"/>
      <c r="Z43" s="61">
        <f>V43*TradeCSY!B42-Merge60_CSY!W43*TradeCSY!D42</f>
        <v>69.873280719665786</v>
      </c>
      <c r="AA43" s="62">
        <f t="shared" si="29"/>
        <v>313.77328071966588</v>
      </c>
      <c r="AB43" s="4"/>
      <c r="AC43" s="63">
        <f t="shared" si="30"/>
        <v>1.7182588398491869</v>
      </c>
      <c r="AD43" s="6">
        <f t="shared" si="31"/>
        <v>2.3369816539933477</v>
      </c>
      <c r="AE43" s="6">
        <f t="shared" si="32"/>
        <v>1.5782000220794694</v>
      </c>
      <c r="AF43" s="6">
        <f t="shared" si="16"/>
        <v>1.4807892670753431</v>
      </c>
      <c r="AG43" s="36">
        <f t="shared" si="33"/>
        <v>988.92662229621817</v>
      </c>
      <c r="AH43" s="5">
        <f t="shared" si="34"/>
        <v>182.53986094846488</v>
      </c>
      <c r="AI43" s="5">
        <f t="shared" si="17"/>
        <v>179.549966671791</v>
      </c>
      <c r="AJ43" s="5">
        <f t="shared" si="35"/>
        <v>2.9898942766738843</v>
      </c>
      <c r="AK43" s="5">
        <f t="shared" si="36"/>
        <v>806.38676134775324</v>
      </c>
      <c r="AL43" s="5">
        <f t="shared" si="18"/>
        <v>554.23235329403792</v>
      </c>
      <c r="AM43" s="5">
        <f t="shared" si="37"/>
        <v>257.20222690010394</v>
      </c>
      <c r="AN43" s="5">
        <f t="shared" si="38"/>
        <v>19.881718180831832</v>
      </c>
      <c r="AO43" s="5">
        <f>(AK43+AH43)*Defense!B40</f>
        <v>14.83389933444327</v>
      </c>
      <c r="AP43" s="41">
        <f t="shared" si="39"/>
        <v>553.29</v>
      </c>
      <c r="AQ43" s="42">
        <f t="shared" si="40"/>
        <v>332.25</v>
      </c>
      <c r="AR43" s="42">
        <f t="shared" si="41"/>
        <v>221.05</v>
      </c>
      <c r="AS43" s="36">
        <f>Capital!C42</f>
        <v>1995.2745777371865</v>
      </c>
      <c r="AT43" s="5">
        <f>Capital!D42</f>
        <v>146.87595812348076</v>
      </c>
      <c r="AU43" s="5">
        <f>Capital!E42</f>
        <v>1848.3986196137057</v>
      </c>
      <c r="AV43" s="41">
        <v>635.61</v>
      </c>
      <c r="AW43" s="42">
        <v>381.68</v>
      </c>
      <c r="AX43" s="64">
        <v>253.94</v>
      </c>
      <c r="AZ43" s="36">
        <f t="shared" si="20"/>
        <v>988.92662229621817</v>
      </c>
      <c r="BA43" s="5">
        <f t="shared" si="21"/>
        <v>182.53986094846488</v>
      </c>
      <c r="BB43" s="5">
        <f t="shared" si="22"/>
        <v>179.549966671791</v>
      </c>
      <c r="BC43" s="5">
        <f t="shared" si="23"/>
        <v>2.9898942766738843</v>
      </c>
      <c r="BD43" s="5">
        <f t="shared" si="24"/>
        <v>806.38676134775324</v>
      </c>
      <c r="BE43" s="5">
        <f t="shared" si="27"/>
        <v>554.23235329403792</v>
      </c>
      <c r="BF43" s="5">
        <f t="shared" si="28"/>
        <v>257.20222690010394</v>
      </c>
      <c r="BG43" s="5">
        <f t="shared" si="25"/>
        <v>19.881718180831832</v>
      </c>
      <c r="BH43" s="58">
        <f t="shared" si="26"/>
        <v>14.83389933444327</v>
      </c>
    </row>
    <row r="44" spans="1:60">
      <c r="A44" s="17">
        <f>'CSY2013'!A17</f>
        <v>1990</v>
      </c>
      <c r="B44" s="22">
        <f>'CSY2013'!B17</f>
        <v>114333</v>
      </c>
      <c r="C44" s="41">
        <f>'CSY2013'!C17</f>
        <v>64749</v>
      </c>
      <c r="D44" s="42">
        <f>'CSY2013'!D17</f>
        <v>38914</v>
      </c>
      <c r="E44" s="42">
        <f>'CSY2013'!E17</f>
        <v>13856</v>
      </c>
      <c r="F44" s="42">
        <f>'CSY2013'!F17</f>
        <v>11979</v>
      </c>
      <c r="G44" s="36">
        <f>'CSY2013'!G17</f>
        <v>18667.822376105862</v>
      </c>
      <c r="H44" s="5">
        <f>'CSY2013'!H17</f>
        <v>5062</v>
      </c>
      <c r="I44" s="5">
        <f>'CSY2013'!I17</f>
        <v>7717.4</v>
      </c>
      <c r="J44" s="5">
        <f>'CSY2013'!J17</f>
        <v>5888.422376105862</v>
      </c>
      <c r="K44" s="36">
        <f>'CSY2013'!K17/100*Merge60_CSY!K$32</f>
        <v>1327.9245571188958</v>
      </c>
      <c r="L44" s="5">
        <f>'CSY2013'!L17/100*Merge60_CSY!L$32</f>
        <v>324.40129378062221</v>
      </c>
      <c r="M44" s="5">
        <f>'CSY2013'!M17/100*Merge60_CSY!M$32</f>
        <v>4638.3043110160406</v>
      </c>
      <c r="N44" s="5">
        <f>'CSY2013'!N17/100*Merge60_CSY!N$32</f>
        <v>1421.9651494699935</v>
      </c>
      <c r="O44" s="36">
        <f>'CSY2013'!O17</f>
        <v>12090.5</v>
      </c>
      <c r="P44" s="5">
        <f>'CSY2013'!P17</f>
        <v>9450.9</v>
      </c>
      <c r="Q44" s="5">
        <f>'CSY2013'!Q17</f>
        <v>2639.6</v>
      </c>
      <c r="R44" s="5">
        <f>'CSY2013'!R17</f>
        <v>6747</v>
      </c>
      <c r="S44" s="5">
        <f>'CSY2013'!S17</f>
        <v>4827.8</v>
      </c>
      <c r="T44" s="5">
        <f>'CSY2013'!T17</f>
        <v>1919.2</v>
      </c>
      <c r="U44" s="5">
        <f>'CSY2013'!U17</f>
        <v>510.3</v>
      </c>
      <c r="V44" s="22">
        <f>'CSY2013'!V17</f>
        <v>2985.8</v>
      </c>
      <c r="W44" s="4">
        <f>'CSY2013'!W17</f>
        <v>2574.3000000000002</v>
      </c>
      <c r="X44" s="18">
        <f>'CSY2013'!X17</f>
        <v>411.5</v>
      </c>
      <c r="Y44" s="4"/>
      <c r="Z44" s="61">
        <f>V44*TradeCSY!B43-Merge60_CSY!W44*TradeCSY!D43</f>
        <v>126.09382758297343</v>
      </c>
      <c r="AA44" s="62">
        <f t="shared" si="29"/>
        <v>-285.4061724170266</v>
      </c>
      <c r="AB44" s="4"/>
      <c r="AC44" s="63">
        <f t="shared" si="30"/>
        <v>1.8178958160804171</v>
      </c>
      <c r="AD44" s="6">
        <f t="shared" si="31"/>
        <v>2.5837577827330396</v>
      </c>
      <c r="AE44" s="6">
        <f t="shared" si="32"/>
        <v>1.6373312234301813</v>
      </c>
      <c r="AF44" s="6">
        <f t="shared" si="16"/>
        <v>1.5780299952505092</v>
      </c>
      <c r="AG44" s="36">
        <f t="shared" si="33"/>
        <v>1026.891761946828</v>
      </c>
      <c r="AH44" s="5">
        <f t="shared" si="34"/>
        <v>195.91619747906606</v>
      </c>
      <c r="AI44" s="5">
        <f t="shared" si="17"/>
        <v>191.03594792836731</v>
      </c>
      <c r="AJ44" s="5">
        <f t="shared" si="35"/>
        <v>4.8802495506987613</v>
      </c>
      <c r="AK44" s="5">
        <f t="shared" si="36"/>
        <v>830.97556446776184</v>
      </c>
      <c r="AL44" s="5">
        <f t="shared" si="18"/>
        <v>531.54334048580859</v>
      </c>
      <c r="AM44" s="5">
        <f t="shared" si="37"/>
        <v>265.57077458978193</v>
      </c>
      <c r="AN44" s="5">
        <f t="shared" si="38"/>
        <v>-17.431181201022078</v>
      </c>
      <c r="AO44" s="5">
        <f>(AK44+AH44)*Defense!B41</f>
        <v>16.430268191149249</v>
      </c>
      <c r="AP44" s="41">
        <f t="shared" si="39"/>
        <v>647.49</v>
      </c>
      <c r="AQ44" s="42">
        <f t="shared" si="40"/>
        <v>389.14</v>
      </c>
      <c r="AR44" s="42">
        <f t="shared" si="41"/>
        <v>258.35000000000002</v>
      </c>
      <c r="AS44" s="36">
        <f>Capital!C43</f>
        <v>2152.713075750431</v>
      </c>
      <c r="AT44" s="5">
        <f>Capital!D43</f>
        <v>145.0326119115781</v>
      </c>
      <c r="AU44" s="5">
        <f>Capital!E43</f>
        <v>2007.680463838853</v>
      </c>
      <c r="AV44" s="41">
        <v>647.49</v>
      </c>
      <c r="AW44" s="42">
        <v>389.14</v>
      </c>
      <c r="AX44" s="64">
        <v>258.35000000000002</v>
      </c>
      <c r="AZ44" s="36">
        <f t="shared" si="20"/>
        <v>1026.891761946828</v>
      </c>
      <c r="BA44" s="5">
        <f t="shared" si="21"/>
        <v>195.91619747906606</v>
      </c>
      <c r="BB44" s="5">
        <f t="shared" si="22"/>
        <v>191.03594792836731</v>
      </c>
      <c r="BC44" s="5">
        <f t="shared" si="23"/>
        <v>4.8802495506987613</v>
      </c>
      <c r="BD44" s="5">
        <f t="shared" si="24"/>
        <v>830.97556446776184</v>
      </c>
      <c r="BE44" s="5">
        <f t="shared" si="27"/>
        <v>531.54334048580859</v>
      </c>
      <c r="BF44" s="5">
        <f t="shared" si="28"/>
        <v>265.57077458978193</v>
      </c>
      <c r="BG44" s="5">
        <f t="shared" si="25"/>
        <v>-17.431181201022078</v>
      </c>
      <c r="BH44" s="58">
        <f t="shared" si="26"/>
        <v>16.430268191149249</v>
      </c>
    </row>
    <row r="45" spans="1:60">
      <c r="A45" s="17">
        <f>'CSY2013'!A18</f>
        <v>1991</v>
      </c>
      <c r="B45" s="22">
        <f>'CSY2013'!B18</f>
        <v>115823</v>
      </c>
      <c r="C45" s="41">
        <f>'CSY2013'!C18</f>
        <v>65491</v>
      </c>
      <c r="D45" s="42">
        <f>'CSY2013'!D18</f>
        <v>39098</v>
      </c>
      <c r="E45" s="42">
        <f>'CSY2013'!E18</f>
        <v>14015</v>
      </c>
      <c r="F45" s="42">
        <f>'CSY2013'!F18</f>
        <v>12378</v>
      </c>
      <c r="G45" s="36">
        <f>'CSY2013'!G18</f>
        <v>21781.499410788158</v>
      </c>
      <c r="H45" s="5">
        <f>'CSY2013'!H18</f>
        <v>5342.2</v>
      </c>
      <c r="I45" s="5">
        <f>'CSY2013'!I18</f>
        <v>9102.2000000000007</v>
      </c>
      <c r="J45" s="5">
        <f>'CSY2013'!J18</f>
        <v>7337.0994107881561</v>
      </c>
      <c r="K45" s="36">
        <f>'CSY2013'!K18/100*Merge60_CSY!K$32</f>
        <v>1449.8139116277575</v>
      </c>
      <c r="L45" s="5">
        <f>'CSY2013'!L18/100*Merge60_CSY!L$32</f>
        <v>332.18640754805034</v>
      </c>
      <c r="M45" s="5">
        <f>'CSY2013'!M18/100*Merge60_CSY!M$32</f>
        <v>5280.9138646660194</v>
      </c>
      <c r="N45" s="5">
        <f>'CSY2013'!N18/100*Merge60_CSY!N$32</f>
        <v>1548.1314500396916</v>
      </c>
      <c r="O45" s="36">
        <f>'CSY2013'!O18</f>
        <v>14091.9</v>
      </c>
      <c r="P45" s="5">
        <f>'CSY2013'!P18</f>
        <v>10730.6</v>
      </c>
      <c r="Q45" s="5">
        <f>'CSY2013'!Q18</f>
        <v>3361.3</v>
      </c>
      <c r="R45" s="5">
        <f>'CSY2013'!R18</f>
        <v>7868</v>
      </c>
      <c r="S45" s="5">
        <f>'CSY2013'!S18</f>
        <v>6070.3</v>
      </c>
      <c r="T45" s="5">
        <f>'CSY2013'!T18</f>
        <v>1797.7</v>
      </c>
      <c r="U45" s="5">
        <f>'CSY2013'!U18</f>
        <v>617.5</v>
      </c>
      <c r="V45" s="22">
        <f>'CSY2013'!V18</f>
        <v>3827.1</v>
      </c>
      <c r="W45" s="4">
        <f>'CSY2013'!W18</f>
        <v>3398.7</v>
      </c>
      <c r="X45" s="18">
        <f>'CSY2013'!X18</f>
        <v>428.4</v>
      </c>
      <c r="Y45" s="4"/>
      <c r="Z45" s="61">
        <f>V45*TradeCSY!B44-Merge60_CSY!W45*TradeCSY!D44</f>
        <v>222.61945830749821</v>
      </c>
      <c r="AA45" s="62">
        <f t="shared" si="29"/>
        <v>-205.78054169250188</v>
      </c>
      <c r="AB45" s="4"/>
      <c r="AC45" s="63">
        <f t="shared" si="30"/>
        <v>1.9427827671310838</v>
      </c>
      <c r="AD45" s="6">
        <f t="shared" si="31"/>
        <v>2.6628734012658808</v>
      </c>
      <c r="AE45" s="6">
        <f t="shared" si="32"/>
        <v>1.785848397027499</v>
      </c>
      <c r="AF45" s="6">
        <f t="shared" si="16"/>
        <v>1.4910971198328864</v>
      </c>
      <c r="AG45" s="36">
        <f t="shared" si="33"/>
        <v>1121.1495067435151</v>
      </c>
      <c r="AH45" s="5">
        <f t="shared" si="34"/>
        <v>200.61787381482037</v>
      </c>
      <c r="AI45" s="5">
        <f t="shared" si="17"/>
        <v>192.25775206807609</v>
      </c>
      <c r="AJ45" s="5">
        <f t="shared" si="35"/>
        <v>8.360121746744289</v>
      </c>
      <c r="AK45" s="5">
        <f t="shared" si="36"/>
        <v>920.53163292869476</v>
      </c>
      <c r="AL45" s="5">
        <f t="shared" si="18"/>
        <v>579.73767237902928</v>
      </c>
      <c r="AM45" s="5">
        <f t="shared" si="37"/>
        <v>312.45387300629812</v>
      </c>
      <c r="AN45" s="5">
        <f t="shared" si="38"/>
        <v>-11.522844942214499</v>
      </c>
      <c r="AO45" s="5">
        <f>(AK45+AH45)*Defense!B42</f>
        <v>16.817242601152724</v>
      </c>
      <c r="AP45" s="41">
        <f t="shared" si="39"/>
        <v>654.91</v>
      </c>
      <c r="AQ45" s="42">
        <f t="shared" si="40"/>
        <v>390.98</v>
      </c>
      <c r="AR45" s="42">
        <f t="shared" si="41"/>
        <v>263.93</v>
      </c>
      <c r="AS45" s="36">
        <f>Capital!C44</f>
        <v>2310.6481965526914</v>
      </c>
      <c r="AT45" s="5">
        <f>Capital!D44</f>
        <v>141.79503107409647</v>
      </c>
      <c r="AU45" s="5">
        <f>Capital!E44</f>
        <v>2168.8531654785947</v>
      </c>
      <c r="AV45" s="41">
        <v>654.91</v>
      </c>
      <c r="AW45" s="42">
        <v>390.98</v>
      </c>
      <c r="AX45" s="64">
        <v>263.93</v>
      </c>
      <c r="AZ45" s="36">
        <f t="shared" si="20"/>
        <v>1121.1495067435151</v>
      </c>
      <c r="BA45" s="5">
        <f t="shared" si="21"/>
        <v>200.61787381482037</v>
      </c>
      <c r="BB45" s="5">
        <f t="shared" si="22"/>
        <v>192.25775206807609</v>
      </c>
      <c r="BC45" s="5">
        <f t="shared" si="23"/>
        <v>8.360121746744289</v>
      </c>
      <c r="BD45" s="5">
        <f t="shared" si="24"/>
        <v>920.53163292869476</v>
      </c>
      <c r="BE45" s="5">
        <f t="shared" si="27"/>
        <v>579.73767237902928</v>
      </c>
      <c r="BF45" s="5">
        <f t="shared" si="28"/>
        <v>312.45387300629812</v>
      </c>
      <c r="BG45" s="5">
        <f t="shared" si="25"/>
        <v>-11.522844942214499</v>
      </c>
      <c r="BH45" s="58">
        <f t="shared" si="26"/>
        <v>16.817242601152724</v>
      </c>
    </row>
    <row r="46" spans="1:60">
      <c r="A46" s="17">
        <f>'CSY2013'!A19</f>
        <v>1992</v>
      </c>
      <c r="B46" s="22">
        <f>'CSY2013'!B19</f>
        <v>117171</v>
      </c>
      <c r="C46" s="41">
        <f>'CSY2013'!C19</f>
        <v>66152</v>
      </c>
      <c r="D46" s="42">
        <f>'CSY2013'!D19</f>
        <v>38699</v>
      </c>
      <c r="E46" s="42">
        <f>'CSY2013'!E19</f>
        <v>14355</v>
      </c>
      <c r="F46" s="42">
        <f>'CSY2013'!F19</f>
        <v>13098</v>
      </c>
      <c r="G46" s="36">
        <f>'CSY2013'!G19</f>
        <v>26923.476451121402</v>
      </c>
      <c r="H46" s="5">
        <f>'CSY2013'!H19</f>
        <v>5866.6</v>
      </c>
      <c r="I46" s="5">
        <f>'CSY2013'!I19</f>
        <v>11699.5</v>
      </c>
      <c r="J46" s="5">
        <f>'CSY2013'!J19</f>
        <v>9357.3764511214031</v>
      </c>
      <c r="K46" s="36">
        <f>'CSY2013'!K19/100*Merge60_CSY!K$32</f>
        <v>1656.277653497159</v>
      </c>
      <c r="L46" s="5">
        <f>'CSY2013'!L19/100*Merge60_CSY!L$32</f>
        <v>347.80189737225214</v>
      </c>
      <c r="M46" s="5">
        <f>'CSY2013'!M19/100*Merge60_CSY!M$32</f>
        <v>6398.027947502922</v>
      </c>
      <c r="N46" s="5">
        <f>'CSY2013'!N19/100*Merge60_CSY!N$32</f>
        <v>1740.7589480800523</v>
      </c>
      <c r="O46" s="36">
        <f>'CSY2013'!O19</f>
        <v>17203.3</v>
      </c>
      <c r="P46" s="5">
        <f>'CSY2013'!P19</f>
        <v>13000.1</v>
      </c>
      <c r="Q46" s="5">
        <f>'CSY2013'!Q19</f>
        <v>4203.2</v>
      </c>
      <c r="R46" s="5">
        <f>'CSY2013'!R19</f>
        <v>10086.299999999999</v>
      </c>
      <c r="S46" s="5">
        <f>'CSY2013'!S19</f>
        <v>8513.7000000000007</v>
      </c>
      <c r="T46" s="5">
        <f>'CSY2013'!T19</f>
        <v>1572.6</v>
      </c>
      <c r="U46" s="5">
        <f>'CSY2013'!U19</f>
        <v>275.60000000000002</v>
      </c>
      <c r="V46" s="22">
        <f>'CSY2013'!V19</f>
        <v>4676.3</v>
      </c>
      <c r="W46" s="4">
        <f>'CSY2013'!W19</f>
        <v>4443.3</v>
      </c>
      <c r="X46" s="18">
        <f>'CSY2013'!X19</f>
        <v>233</v>
      </c>
      <c r="Y46" s="4"/>
      <c r="Z46" s="61">
        <f>V46*TradeCSY!B45-Merge60_CSY!W46*TradeCSY!D45</f>
        <v>289.14671387833425</v>
      </c>
      <c r="AA46" s="62">
        <f t="shared" si="29"/>
        <v>56.146713878334253</v>
      </c>
      <c r="AB46" s="4"/>
      <c r="AC46" s="63">
        <f t="shared" si="30"/>
        <v>2.1020678349859789</v>
      </c>
      <c r="AD46" s="6">
        <f t="shared" si="31"/>
        <v>2.792973181696321</v>
      </c>
      <c r="AE46" s="6">
        <f t="shared" si="32"/>
        <v>1.9665345695106218</v>
      </c>
      <c r="AF46" s="6">
        <f t="shared" si="16"/>
        <v>1.4202512506003702</v>
      </c>
      <c r="AG46" s="36">
        <f t="shared" si="33"/>
        <v>1280.809115815284</v>
      </c>
      <c r="AH46" s="5">
        <f t="shared" si="34"/>
        <v>210.04856181386253</v>
      </c>
      <c r="AI46" s="5">
        <f t="shared" si="17"/>
        <v>199.69591268091526</v>
      </c>
      <c r="AJ46" s="5">
        <f t="shared" si="35"/>
        <v>10.352649132947281</v>
      </c>
      <c r="AK46" s="5">
        <f t="shared" si="36"/>
        <v>1070.7605540014215</v>
      </c>
      <c r="AL46" s="5">
        <f t="shared" si="18"/>
        <v>650.66886207669222</v>
      </c>
      <c r="AM46" s="5">
        <f t="shared" si="37"/>
        <v>405.01547373026563</v>
      </c>
      <c r="AN46" s="5">
        <f t="shared" si="38"/>
        <v>2.8551094269502997</v>
      </c>
      <c r="AO46" s="5">
        <f>(AK46+AH46)*Defense!B43</f>
        <v>17.931327621413974</v>
      </c>
      <c r="AP46" s="41">
        <f t="shared" si="39"/>
        <v>661.52</v>
      </c>
      <c r="AQ46" s="42">
        <f t="shared" si="40"/>
        <v>386.99</v>
      </c>
      <c r="AR46" s="42">
        <f t="shared" si="41"/>
        <v>274.52999999999997</v>
      </c>
      <c r="AS46" s="36">
        <f>Capital!C45</f>
        <v>2507.5696597313549</v>
      </c>
      <c r="AT46" s="5">
        <f>Capital!D45</f>
        <v>144.04727238534915</v>
      </c>
      <c r="AU46" s="5">
        <f>Capital!E45</f>
        <v>2363.5223873460059</v>
      </c>
      <c r="AV46" s="41">
        <v>661.52</v>
      </c>
      <c r="AW46" s="42">
        <v>386.99</v>
      </c>
      <c r="AX46" s="64">
        <v>274.52999999999997</v>
      </c>
      <c r="AZ46" s="36">
        <f t="shared" si="20"/>
        <v>1280.809115815284</v>
      </c>
      <c r="BA46" s="5">
        <f t="shared" si="21"/>
        <v>210.04856181386253</v>
      </c>
      <c r="BB46" s="5">
        <f t="shared" si="22"/>
        <v>199.69591268091526</v>
      </c>
      <c r="BC46" s="5">
        <f t="shared" si="23"/>
        <v>10.352649132947281</v>
      </c>
      <c r="BD46" s="5">
        <f t="shared" si="24"/>
        <v>1070.7605540014215</v>
      </c>
      <c r="BE46" s="5">
        <f t="shared" si="27"/>
        <v>650.66886207669222</v>
      </c>
      <c r="BF46" s="5">
        <f t="shared" si="28"/>
        <v>405.01547373026563</v>
      </c>
      <c r="BG46" s="5">
        <f t="shared" si="25"/>
        <v>2.8551094269502997</v>
      </c>
      <c r="BH46" s="58">
        <f t="shared" si="26"/>
        <v>17.931327621413974</v>
      </c>
    </row>
    <row r="47" spans="1:60">
      <c r="A47" s="17">
        <f>'CSY2013'!A20</f>
        <v>1993</v>
      </c>
      <c r="B47" s="22">
        <f>'CSY2013'!B20</f>
        <v>118517</v>
      </c>
      <c r="C47" s="41">
        <f>'CSY2013'!C20</f>
        <v>66808</v>
      </c>
      <c r="D47" s="42">
        <f>'CSY2013'!D20</f>
        <v>37680</v>
      </c>
      <c r="E47" s="42">
        <f>'CSY2013'!E20</f>
        <v>14965</v>
      </c>
      <c r="F47" s="42">
        <f>'CSY2013'!F20</f>
        <v>14163</v>
      </c>
      <c r="G47" s="36">
        <f>'CSY2013'!G20</f>
        <v>35333.924714546243</v>
      </c>
      <c r="H47" s="5">
        <f>'CSY2013'!H20</f>
        <v>6963.7628949561667</v>
      </c>
      <c r="I47" s="5">
        <f>'CSY2013'!I20</f>
        <v>16454.431309439089</v>
      </c>
      <c r="J47" s="5">
        <f>'CSY2013'!J20</f>
        <v>11915.730510150988</v>
      </c>
      <c r="K47" s="36">
        <f>'CSY2013'!K20/100*Merge60_CSY!K$32</f>
        <v>1887.5654766803696</v>
      </c>
      <c r="L47" s="5">
        <f>'CSY2013'!L20/100*Merge60_CSY!L$32</f>
        <v>364.15451590865223</v>
      </c>
      <c r="M47" s="5">
        <f>'CSY2013'!M20/100*Merge60_CSY!M$32</f>
        <v>7669.063005545363</v>
      </c>
      <c r="N47" s="5">
        <f>'CSY2013'!N20/100*Merge60_CSY!N$32</f>
        <v>1952.8924579188511</v>
      </c>
      <c r="O47" s="36">
        <f>'CSY2013'!O20</f>
        <v>21899.9</v>
      </c>
      <c r="P47" s="5">
        <f>'CSY2013'!P20</f>
        <v>16412.099999999999</v>
      </c>
      <c r="Q47" s="5">
        <f>'CSY2013'!Q20</f>
        <v>5487.8</v>
      </c>
      <c r="R47" s="5">
        <f>'CSY2013'!R20</f>
        <v>15717.7</v>
      </c>
      <c r="S47" s="5">
        <f>'CSY2013'!S20</f>
        <v>13309.2</v>
      </c>
      <c r="T47" s="5">
        <f>'CSY2013'!T20</f>
        <v>2408.5</v>
      </c>
      <c r="U47" s="5">
        <f>'CSY2013'!U20</f>
        <v>-679.5</v>
      </c>
      <c r="V47" s="22">
        <f>'CSY2013'!V20</f>
        <v>5284.8</v>
      </c>
      <c r="W47" s="4">
        <f>'CSY2013'!W20</f>
        <v>5986.2</v>
      </c>
      <c r="X47" s="18">
        <f>'CSY2013'!X20</f>
        <v>-701.4</v>
      </c>
      <c r="Y47" s="4"/>
      <c r="Z47" s="61">
        <f>V47*TradeCSY!B46-Merge60_CSY!W47*TradeCSY!D46</f>
        <v>377.48322591225849</v>
      </c>
      <c r="AA47" s="62">
        <f t="shared" si="29"/>
        <v>1078.8832259122582</v>
      </c>
      <c r="AB47" s="4"/>
      <c r="AC47" s="63">
        <f t="shared" si="30"/>
        <v>2.4206867125936258</v>
      </c>
      <c r="AD47" s="6">
        <f t="shared" si="31"/>
        <v>3.1664345105373557</v>
      </c>
      <c r="AE47" s="6">
        <f t="shared" si="32"/>
        <v>2.2883944287782998</v>
      </c>
      <c r="AF47" s="6">
        <f t="shared" si="16"/>
        <v>1.3836926321428833</v>
      </c>
      <c r="AG47" s="36">
        <f t="shared" si="33"/>
        <v>1459.6653309460266</v>
      </c>
      <c r="AH47" s="5">
        <f t="shared" si="34"/>
        <v>219.92442514702097</v>
      </c>
      <c r="AI47" s="5">
        <f t="shared" si="17"/>
        <v>208.00302823651933</v>
      </c>
      <c r="AJ47" s="5">
        <f t="shared" si="35"/>
        <v>11.921396910501654</v>
      </c>
      <c r="AK47" s="5">
        <f t="shared" si="36"/>
        <v>1239.7409057990058</v>
      </c>
      <c r="AL47" s="5">
        <f t="shared" si="18"/>
        <v>719.55985673218584</v>
      </c>
      <c r="AM47" s="5">
        <f t="shared" si="37"/>
        <v>549.81092475779167</v>
      </c>
      <c r="AN47" s="5">
        <f t="shared" si="38"/>
        <v>47.145859662324007</v>
      </c>
      <c r="AO47" s="5">
        <f>(AK47+AH47)*Defense!B44</f>
        <v>17.51598397135232</v>
      </c>
      <c r="AP47" s="41">
        <f t="shared" si="39"/>
        <v>668.08</v>
      </c>
      <c r="AQ47" s="42">
        <f t="shared" si="40"/>
        <v>376.8</v>
      </c>
      <c r="AR47" s="42">
        <f t="shared" si="41"/>
        <v>291.27999999999997</v>
      </c>
      <c r="AS47" s="36">
        <f>Capital!C46</f>
        <v>2787.2066504750528</v>
      </c>
      <c r="AT47" s="5">
        <f>Capital!D46</f>
        <v>155.76014024753047</v>
      </c>
      <c r="AU47" s="5">
        <f>Capital!E46</f>
        <v>2631.4465102275221</v>
      </c>
      <c r="AV47" s="41">
        <v>668.08</v>
      </c>
      <c r="AW47" s="42">
        <v>376.8</v>
      </c>
      <c r="AX47" s="64">
        <v>291.27999999999997</v>
      </c>
      <c r="AZ47" s="36">
        <f t="shared" si="20"/>
        <v>1459.6653309460266</v>
      </c>
      <c r="BA47" s="5">
        <f t="shared" si="21"/>
        <v>219.92442514702097</v>
      </c>
      <c r="BB47" s="5">
        <f t="shared" si="22"/>
        <v>208.00302823651933</v>
      </c>
      <c r="BC47" s="5">
        <f t="shared" si="23"/>
        <v>11.921396910501654</v>
      </c>
      <c r="BD47" s="5">
        <f t="shared" si="24"/>
        <v>1239.7409057990058</v>
      </c>
      <c r="BE47" s="5">
        <f t="shared" si="27"/>
        <v>719.55985673218584</v>
      </c>
      <c r="BF47" s="5">
        <f t="shared" si="28"/>
        <v>549.81092475779167</v>
      </c>
      <c r="BG47" s="5">
        <f t="shared" si="25"/>
        <v>47.145859662324007</v>
      </c>
      <c r="BH47" s="58">
        <f t="shared" si="26"/>
        <v>17.51598397135232</v>
      </c>
    </row>
    <row r="48" spans="1:60">
      <c r="A48" s="17">
        <f>'CSY2013'!A21</f>
        <v>1994</v>
      </c>
      <c r="B48" s="22">
        <f>'CSY2013'!B21</f>
        <v>119850</v>
      </c>
      <c r="C48" s="41">
        <f>'CSY2013'!C21</f>
        <v>67455</v>
      </c>
      <c r="D48" s="42">
        <f>'CSY2013'!D21</f>
        <v>36628</v>
      </c>
      <c r="E48" s="42">
        <f>'CSY2013'!E21</f>
        <v>15312</v>
      </c>
      <c r="F48" s="42">
        <f>'CSY2013'!F21</f>
        <v>15515</v>
      </c>
      <c r="G48" s="36">
        <f>'CSY2013'!G21</f>
        <v>48197.856444709192</v>
      </c>
      <c r="H48" s="5">
        <f>'CSY2013'!H21</f>
        <v>9572.6947500939077</v>
      </c>
      <c r="I48" s="5">
        <f>'CSY2013'!I21</f>
        <v>22445.399060048316</v>
      </c>
      <c r="J48" s="5">
        <f>'CSY2013'!J21</f>
        <v>16179.762634566971</v>
      </c>
      <c r="K48" s="36">
        <f>'CSY2013'!K21/100*Merge60_CSY!K$32</f>
        <v>2134.4719110931987</v>
      </c>
      <c r="L48" s="5">
        <f>'CSY2013'!L21/100*Merge60_CSY!L$32</f>
        <v>378.72250703657221</v>
      </c>
      <c r="M48" s="5">
        <f>'CSY2013'!M21/100*Merge60_CSY!M$32</f>
        <v>9077.0703019686771</v>
      </c>
      <c r="N48" s="5">
        <f>'CSY2013'!N21/100*Merge60_CSY!N$32</f>
        <v>2169.4881672446809</v>
      </c>
      <c r="O48" s="36">
        <f>'CSY2013'!O21</f>
        <v>29242.2</v>
      </c>
      <c r="P48" s="5">
        <f>'CSY2013'!P21</f>
        <v>21844.2</v>
      </c>
      <c r="Q48" s="5">
        <f>'CSY2013'!Q21</f>
        <v>7398</v>
      </c>
      <c r="R48" s="5">
        <f>'CSY2013'!R21</f>
        <v>20341.099999999999</v>
      </c>
      <c r="S48" s="5">
        <f>'CSY2013'!S21</f>
        <v>17312.7</v>
      </c>
      <c r="T48" s="5">
        <f>'CSY2013'!T21</f>
        <v>3028.4</v>
      </c>
      <c r="U48" s="5">
        <f>'CSY2013'!U21</f>
        <v>634.1</v>
      </c>
      <c r="V48" s="22">
        <f>'CSY2013'!V21</f>
        <v>10421.799999999999</v>
      </c>
      <c r="W48" s="4">
        <f>'CSY2013'!W21</f>
        <v>9960.1</v>
      </c>
      <c r="X48" s="18">
        <f>'CSY2013'!X21</f>
        <v>461.7</v>
      </c>
      <c r="Y48" s="4"/>
      <c r="Z48" s="61">
        <f>V48*TradeCSY!B47-Merge60_CSY!W48*TradeCSY!D47</f>
        <v>559.53195452248417</v>
      </c>
      <c r="AA48" s="62">
        <f t="shared" si="29"/>
        <v>97.831954522485262</v>
      </c>
      <c r="AB48" s="4"/>
      <c r="AC48" s="63">
        <f t="shared" si="30"/>
        <v>2.9200212522689535</v>
      </c>
      <c r="AD48" s="6">
        <f t="shared" si="31"/>
        <v>4.1852878206863933</v>
      </c>
      <c r="AE48" s="6">
        <f t="shared" si="32"/>
        <v>2.7164910422678252</v>
      </c>
      <c r="AF48" s="6">
        <f t="shared" si="16"/>
        <v>1.540696345235272</v>
      </c>
      <c r="AG48" s="36">
        <f t="shared" si="33"/>
        <v>1650.5995087281594</v>
      </c>
      <c r="AH48" s="5">
        <f t="shared" si="34"/>
        <v>228.72249556600318</v>
      </c>
      <c r="AI48" s="5">
        <f t="shared" si="17"/>
        <v>215.35347583558186</v>
      </c>
      <c r="AJ48" s="5">
        <f t="shared" si="35"/>
        <v>13.369019730421313</v>
      </c>
      <c r="AK48" s="5">
        <f t="shared" si="36"/>
        <v>1421.8770131621563</v>
      </c>
      <c r="AL48" s="5">
        <f t="shared" si="18"/>
        <v>814.42545789820758</v>
      </c>
      <c r="AM48" s="5">
        <f t="shared" si="37"/>
        <v>592.89636972838673</v>
      </c>
      <c r="AN48" s="5">
        <f t="shared" si="38"/>
        <v>3.6014090604477604</v>
      </c>
      <c r="AO48" s="5">
        <f>(AK48+AH48)*Defense!B45</f>
        <v>18.156594596009757</v>
      </c>
      <c r="AP48" s="41">
        <f t="shared" si="39"/>
        <v>674.55</v>
      </c>
      <c r="AQ48" s="42">
        <f t="shared" si="40"/>
        <v>366.28</v>
      </c>
      <c r="AR48" s="42">
        <f t="shared" si="41"/>
        <v>308.27</v>
      </c>
      <c r="AS48" s="36">
        <f>Capital!C47</f>
        <v>3197.6572427090919</v>
      </c>
      <c r="AT48" s="5">
        <f>Capital!D47</f>
        <v>176.5899530066124</v>
      </c>
      <c r="AU48" s="5">
        <f>Capital!E47</f>
        <v>3021.0672897024797</v>
      </c>
      <c r="AV48" s="41">
        <v>674.55</v>
      </c>
      <c r="AW48" s="42">
        <v>366.28</v>
      </c>
      <c r="AX48" s="64">
        <v>308.27</v>
      </c>
      <c r="AZ48" s="36">
        <f t="shared" si="20"/>
        <v>1650.5995087281594</v>
      </c>
      <c r="BA48" s="5">
        <f t="shared" si="21"/>
        <v>228.72249556600318</v>
      </c>
      <c r="BB48" s="5">
        <f t="shared" si="22"/>
        <v>215.35347583558186</v>
      </c>
      <c r="BC48" s="5">
        <f t="shared" si="23"/>
        <v>13.369019730421313</v>
      </c>
      <c r="BD48" s="5">
        <f t="shared" si="24"/>
        <v>1421.8770131621563</v>
      </c>
      <c r="BE48" s="5">
        <f t="shared" si="27"/>
        <v>814.42545789820758</v>
      </c>
      <c r="BF48" s="5">
        <f t="shared" si="28"/>
        <v>592.89636972838673</v>
      </c>
      <c r="BG48" s="5">
        <f t="shared" si="25"/>
        <v>3.6014090604477604</v>
      </c>
      <c r="BH48" s="58">
        <f t="shared" si="26"/>
        <v>18.156594596009757</v>
      </c>
    </row>
    <row r="49" spans="1:60">
      <c r="A49" s="17">
        <f>'CSY2013'!A22</f>
        <v>1995</v>
      </c>
      <c r="B49" s="22">
        <f>'CSY2013'!B22</f>
        <v>121121</v>
      </c>
      <c r="C49" s="41">
        <f>'CSY2013'!C22</f>
        <v>68065</v>
      </c>
      <c r="D49" s="42">
        <f>'CSY2013'!D22</f>
        <v>35530</v>
      </c>
      <c r="E49" s="42">
        <f>'CSY2013'!E22</f>
        <v>15655</v>
      </c>
      <c r="F49" s="42">
        <f>'CSY2013'!F22</f>
        <v>16880</v>
      </c>
      <c r="G49" s="36">
        <f>'CSY2013'!G22</f>
        <v>60793.729211331403</v>
      </c>
      <c r="H49" s="5">
        <f>'CSY2013'!H22</f>
        <v>12135.81140421533</v>
      </c>
      <c r="I49" s="5">
        <f>'CSY2013'!I22</f>
        <v>28679.45750448529</v>
      </c>
      <c r="J49" s="5">
        <f>'CSY2013'!J22</f>
        <v>19978.460302630781</v>
      </c>
      <c r="K49" s="36">
        <f>'CSY2013'!K22/100*Merge60_CSY!K$32</f>
        <v>2367.662547446665</v>
      </c>
      <c r="L49" s="5">
        <f>'CSY2013'!L22/100*Merge60_CSY!L$32</f>
        <v>397.66154210700165</v>
      </c>
      <c r="M49" s="5">
        <f>'CSY2013'!M22/100*Merge60_CSY!M$32</f>
        <v>10336.565794513474</v>
      </c>
      <c r="N49" s="5">
        <f>'CSY2013'!N22/100*Merge60_CSY!N$32</f>
        <v>2382.9574703809117</v>
      </c>
      <c r="O49" s="36">
        <f>'CSY2013'!O22</f>
        <v>36748.199999999997</v>
      </c>
      <c r="P49" s="5">
        <f>'CSY2013'!P22</f>
        <v>28369.7</v>
      </c>
      <c r="Q49" s="5">
        <f>'CSY2013'!Q22</f>
        <v>8378.5</v>
      </c>
      <c r="R49" s="5">
        <f>'CSY2013'!R22</f>
        <v>25470.1</v>
      </c>
      <c r="S49" s="5">
        <f>'CSY2013'!S22</f>
        <v>20885</v>
      </c>
      <c r="T49" s="5">
        <f>'CSY2013'!T22</f>
        <v>4585.1000000000004</v>
      </c>
      <c r="U49" s="5">
        <f>'CSY2013'!U22</f>
        <v>998.6</v>
      </c>
      <c r="V49" s="22">
        <f>'CSY2013'!V22</f>
        <v>12451.8</v>
      </c>
      <c r="W49" s="4">
        <f>'CSY2013'!W22</f>
        <v>11048.1</v>
      </c>
      <c r="X49" s="18">
        <f>'CSY2013'!X22</f>
        <v>1403.7</v>
      </c>
      <c r="Y49" s="4"/>
      <c r="Z49" s="61">
        <f>V49*TradeCSY!B48-Merge60_CSY!W49*TradeCSY!D48</f>
        <v>221.97470808137803</v>
      </c>
      <c r="AA49" s="62">
        <f t="shared" si="29"/>
        <v>-1181.7252919186208</v>
      </c>
      <c r="AB49" s="4"/>
      <c r="AC49" s="63">
        <f t="shared" si="30"/>
        <v>3.3203794156748101</v>
      </c>
      <c r="AD49" s="6">
        <f t="shared" si="31"/>
        <v>5.0532113268292935</v>
      </c>
      <c r="AE49" s="6">
        <f t="shared" si="32"/>
        <v>3.0587712620351182</v>
      </c>
      <c r="AF49" s="6">
        <f t="shared" si="16"/>
        <v>1.6520396243906115</v>
      </c>
      <c r="AG49" s="36">
        <f t="shared" si="33"/>
        <v>1830.9271803197262</v>
      </c>
      <c r="AH49" s="5">
        <f t="shared" si="34"/>
        <v>240.1603776153591</v>
      </c>
      <c r="AI49" s="5">
        <f t="shared" si="17"/>
        <v>235.76763221595664</v>
      </c>
      <c r="AJ49" s="5">
        <f t="shared" si="35"/>
        <v>4.3927453994024637</v>
      </c>
      <c r="AK49" s="5">
        <f t="shared" si="36"/>
        <v>1590.7668027043671</v>
      </c>
      <c r="AL49" s="5">
        <f t="shared" si="18"/>
        <v>904.82916146384002</v>
      </c>
      <c r="AM49" s="5">
        <f t="shared" si="37"/>
        <v>628.99438243130658</v>
      </c>
      <c r="AN49" s="5">
        <f t="shared" si="38"/>
        <v>-38.63398700602324</v>
      </c>
      <c r="AO49" s="5">
        <f>(AK49+AH49)*Defense!B46</f>
        <v>18.309271803197262</v>
      </c>
      <c r="AP49" s="41">
        <f t="shared" si="39"/>
        <v>680.65</v>
      </c>
      <c r="AQ49" s="42">
        <f t="shared" si="40"/>
        <v>355.3</v>
      </c>
      <c r="AR49" s="42">
        <f t="shared" si="41"/>
        <v>325.35000000000002</v>
      </c>
      <c r="AS49" s="36">
        <f>Capital!C48</f>
        <v>3630.6707503020239</v>
      </c>
      <c r="AT49" s="5">
        <f>Capital!D48</f>
        <v>194.55208712104616</v>
      </c>
      <c r="AU49" s="5">
        <f>Capital!E48</f>
        <v>3436.1186631809778</v>
      </c>
      <c r="AV49" s="41">
        <v>680.65</v>
      </c>
      <c r="AW49" s="42">
        <v>355.3</v>
      </c>
      <c r="AX49" s="64">
        <v>325.35000000000002</v>
      </c>
      <c r="AZ49" s="36">
        <f t="shared" si="20"/>
        <v>1830.9271803197262</v>
      </c>
      <c r="BA49" s="5">
        <f t="shared" si="21"/>
        <v>240.1603776153591</v>
      </c>
      <c r="BB49" s="5">
        <f t="shared" si="22"/>
        <v>235.76763221595664</v>
      </c>
      <c r="BC49" s="5">
        <f t="shared" si="23"/>
        <v>4.3927453994024637</v>
      </c>
      <c r="BD49" s="5">
        <f t="shared" si="24"/>
        <v>1590.7668027043671</v>
      </c>
      <c r="BE49" s="5">
        <f t="shared" si="27"/>
        <v>904.82916146384002</v>
      </c>
      <c r="BF49" s="5">
        <f t="shared" si="28"/>
        <v>628.99438243130658</v>
      </c>
      <c r="BG49" s="5">
        <f t="shared" si="25"/>
        <v>-38.63398700602324</v>
      </c>
      <c r="BH49" s="58">
        <f t="shared" si="26"/>
        <v>18.309271803197262</v>
      </c>
    </row>
    <row r="50" spans="1:60">
      <c r="A50" s="17">
        <f>'CSY2013'!A23</f>
        <v>1996</v>
      </c>
      <c r="B50" s="22">
        <f>'CSY2013'!B23</f>
        <v>122389</v>
      </c>
      <c r="C50" s="41">
        <f>'CSY2013'!C23</f>
        <v>68950</v>
      </c>
      <c r="D50" s="42">
        <f>'CSY2013'!D23</f>
        <v>34820</v>
      </c>
      <c r="E50" s="42">
        <f>'CSY2013'!E23</f>
        <v>16203</v>
      </c>
      <c r="F50" s="42">
        <f>'CSY2013'!F23</f>
        <v>17927</v>
      </c>
      <c r="G50" s="36">
        <f>'CSY2013'!G23</f>
        <v>71176.591653987125</v>
      </c>
      <c r="H50" s="5">
        <f>'CSY2013'!H23</f>
        <v>14015.389992483675</v>
      </c>
      <c r="I50" s="5">
        <f>'CSY2013'!I23</f>
        <v>33834.959013514926</v>
      </c>
      <c r="J50" s="5">
        <f>'CSY2013'!J23</f>
        <v>23326.242647988525</v>
      </c>
      <c r="K50" s="36">
        <f>'CSY2013'!K23/100*Merge60_CSY!K$32</f>
        <v>2604.6306087084567</v>
      </c>
      <c r="L50" s="5">
        <f>'CSY2013'!L23/100*Merge60_CSY!L$32</f>
        <v>417.94551377512624</v>
      </c>
      <c r="M50" s="5">
        <f>'CSY2013'!M23/100*Merge60_CSY!M$32</f>
        <v>11587.94753006774</v>
      </c>
      <c r="N50" s="5">
        <f>'CSY2013'!N23/100*Merge60_CSY!N$32</f>
        <v>2607.5872809716038</v>
      </c>
      <c r="O50" s="36">
        <f>'CSY2013'!O23</f>
        <v>43919.5</v>
      </c>
      <c r="P50" s="5">
        <f>'CSY2013'!P23</f>
        <v>33955.9</v>
      </c>
      <c r="Q50" s="5">
        <f>'CSY2013'!Q23</f>
        <v>9963.6</v>
      </c>
      <c r="R50" s="5">
        <f>'CSY2013'!R23</f>
        <v>28784.9</v>
      </c>
      <c r="S50" s="5">
        <f>'CSY2013'!S23</f>
        <v>24048.1</v>
      </c>
      <c r="T50" s="5">
        <f>'CSY2013'!T23</f>
        <v>4736.8</v>
      </c>
      <c r="U50" s="5">
        <f>'CSY2013'!U23</f>
        <v>1459.2</v>
      </c>
      <c r="V50" s="22">
        <f>'CSY2013'!V23</f>
        <v>12576.4</v>
      </c>
      <c r="W50" s="4">
        <f>'CSY2013'!W23</f>
        <v>11557.4</v>
      </c>
      <c r="X50" s="18">
        <f>'CSY2013'!X23</f>
        <v>1019</v>
      </c>
      <c r="Y50" s="4"/>
      <c r="Z50" s="61">
        <f>V50*TradeCSY!B49-Merge60_CSY!W50*TradeCSY!D49</f>
        <v>340.06593377035108</v>
      </c>
      <c r="AA50" s="62">
        <f t="shared" si="29"/>
        <v>-678.93406622964892</v>
      </c>
      <c r="AB50" s="4"/>
      <c r="AC50" s="63">
        <f t="shared" si="30"/>
        <v>3.5337822112425386</v>
      </c>
      <c r="AD50" s="6">
        <f t="shared" si="31"/>
        <v>5.5526174508178432</v>
      </c>
      <c r="AE50" s="6">
        <f t="shared" si="32"/>
        <v>3.2445409663041005</v>
      </c>
      <c r="AF50" s="6">
        <f t="shared" si="16"/>
        <v>1.7113722737620118</v>
      </c>
      <c r="AG50" s="36">
        <f t="shared" si="33"/>
        <v>2014.1759565018642</v>
      </c>
      <c r="AH50" s="5">
        <f t="shared" si="34"/>
        <v>252.41050939713764</v>
      </c>
      <c r="AI50" s="5">
        <f t="shared" si="17"/>
        <v>246.28608363248745</v>
      </c>
      <c r="AJ50" s="5">
        <f t="shared" si="35"/>
        <v>6.1244257646501996</v>
      </c>
      <c r="AK50" s="5">
        <f t="shared" si="36"/>
        <v>1761.7654471047265</v>
      </c>
      <c r="AL50" s="5">
        <f t="shared" si="18"/>
        <v>1040.1781102130735</v>
      </c>
      <c r="AM50" s="5">
        <f t="shared" si="37"/>
        <v>680.52014986923245</v>
      </c>
      <c r="AN50" s="5">
        <f t="shared" si="38"/>
        <v>-20.925427457401831</v>
      </c>
      <c r="AO50" s="5">
        <f>(AK50+AH50)*Defense!B47</f>
        <v>20.141759565018642</v>
      </c>
      <c r="AP50" s="41">
        <f t="shared" si="39"/>
        <v>689.5</v>
      </c>
      <c r="AQ50" s="42">
        <f t="shared" si="40"/>
        <v>348.2</v>
      </c>
      <c r="AR50" s="42">
        <f t="shared" si="41"/>
        <v>341.3</v>
      </c>
      <c r="AS50" s="36">
        <f>Capital!C49</f>
        <v>4078.1315952182294</v>
      </c>
      <c r="AT50" s="5">
        <f>Capital!D49</f>
        <v>207.03687408993545</v>
      </c>
      <c r="AU50" s="5">
        <f>Capital!E49</f>
        <v>3871.0947211282942</v>
      </c>
      <c r="AV50" s="41">
        <v>689.5</v>
      </c>
      <c r="AW50" s="42">
        <v>348.2</v>
      </c>
      <c r="AX50" s="64">
        <v>341.3</v>
      </c>
      <c r="AZ50" s="36">
        <f t="shared" si="20"/>
        <v>2014.1759565018642</v>
      </c>
      <c r="BA50" s="5">
        <f t="shared" si="21"/>
        <v>252.41050939713764</v>
      </c>
      <c r="BB50" s="5">
        <f t="shared" si="22"/>
        <v>246.28608363248745</v>
      </c>
      <c r="BC50" s="5">
        <f t="shared" si="23"/>
        <v>6.1244257646501996</v>
      </c>
      <c r="BD50" s="5">
        <f t="shared" si="24"/>
        <v>1761.7654471047265</v>
      </c>
      <c r="BE50" s="5">
        <f t="shared" si="27"/>
        <v>1040.1781102130735</v>
      </c>
      <c r="BF50" s="5">
        <f t="shared" si="28"/>
        <v>680.52014986923245</v>
      </c>
      <c r="BG50" s="5">
        <f t="shared" si="25"/>
        <v>-20.925427457401831</v>
      </c>
      <c r="BH50" s="58">
        <f t="shared" si="26"/>
        <v>20.141759565018642</v>
      </c>
    </row>
    <row r="51" spans="1:60">
      <c r="A51" s="17">
        <f>'CSY2013'!A24</f>
        <v>1997</v>
      </c>
      <c r="B51" s="22">
        <f>'CSY2013'!B24</f>
        <v>123626</v>
      </c>
      <c r="C51" s="41">
        <f>'CSY2013'!C24</f>
        <v>69820</v>
      </c>
      <c r="D51" s="42">
        <f>'CSY2013'!D24</f>
        <v>34840</v>
      </c>
      <c r="E51" s="42">
        <f>'CSY2013'!E24</f>
        <v>16547</v>
      </c>
      <c r="F51" s="42">
        <f>'CSY2013'!F24</f>
        <v>18432</v>
      </c>
      <c r="G51" s="36">
        <f>'CSY2013'!G24</f>
        <v>78973.034996491449</v>
      </c>
      <c r="H51" s="5">
        <f>'CSY2013'!H24</f>
        <v>14441.88566713665</v>
      </c>
      <c r="I51" s="5">
        <f>'CSY2013'!I24</f>
        <v>37543.002190786159</v>
      </c>
      <c r="J51" s="5">
        <f>'CSY2013'!J24</f>
        <v>26988.147138568638</v>
      </c>
      <c r="K51" s="36">
        <f>'CSY2013'!K24/100*Merge60_CSY!K$32</f>
        <v>2846.7839956183825</v>
      </c>
      <c r="L51" s="5">
        <f>'CSY2013'!L24/100*Merge60_CSY!L$32</f>
        <v>432.5716992750618</v>
      </c>
      <c r="M51" s="5">
        <f>'CSY2013'!M24/100*Merge60_CSY!M$32</f>
        <v>12802.246391080103</v>
      </c>
      <c r="N51" s="5">
        <f>'CSY2013'!N24/100*Merge60_CSY!N$32</f>
        <v>2887.0426327134664</v>
      </c>
      <c r="O51" s="36">
        <f>'CSY2013'!O24</f>
        <v>48140.6</v>
      </c>
      <c r="P51" s="5">
        <f>'CSY2013'!P24</f>
        <v>36921.5</v>
      </c>
      <c r="Q51" s="5">
        <f>'CSY2013'!Q24</f>
        <v>11219.1</v>
      </c>
      <c r="R51" s="5">
        <f>'CSY2013'!R24</f>
        <v>29968</v>
      </c>
      <c r="S51" s="5">
        <f>'CSY2013'!S24</f>
        <v>25965</v>
      </c>
      <c r="T51" s="5">
        <f>'CSY2013'!T24</f>
        <v>4003</v>
      </c>
      <c r="U51" s="5">
        <f>'CSY2013'!U24</f>
        <v>3549.9</v>
      </c>
      <c r="V51" s="22">
        <f>'CSY2013'!V24</f>
        <v>15160.7</v>
      </c>
      <c r="W51" s="4">
        <f>'CSY2013'!W24</f>
        <v>11806.5</v>
      </c>
      <c r="X51" s="18">
        <f>'CSY2013'!X24</f>
        <v>3354.2</v>
      </c>
      <c r="Y51" s="4"/>
      <c r="Z51" s="61">
        <f>V51*TradeCSY!B50-Merge60_CSY!W51*TradeCSY!D50</f>
        <v>536.11033091601939</v>
      </c>
      <c r="AA51" s="62">
        <f t="shared" si="29"/>
        <v>-2818.0896690839813</v>
      </c>
      <c r="AB51" s="4"/>
      <c r="AC51" s="63">
        <f t="shared" si="30"/>
        <v>3.587344175037932</v>
      </c>
      <c r="AD51" s="6">
        <f t="shared" si="31"/>
        <v>5.5281272895729989</v>
      </c>
      <c r="AE51" s="6">
        <f t="shared" si="32"/>
        <v>3.3260207022676576</v>
      </c>
      <c r="AF51" s="6">
        <f t="shared" si="16"/>
        <v>1.6620844499867244</v>
      </c>
      <c r="AG51" s="36">
        <f t="shared" si="33"/>
        <v>2201.4345750824536</v>
      </c>
      <c r="AH51" s="5">
        <f t="shared" si="34"/>
        <v>261.24372523723423</v>
      </c>
      <c r="AI51" s="5">
        <f t="shared" si="17"/>
        <v>251.54586006818835</v>
      </c>
      <c r="AJ51" s="5">
        <f t="shared" si="35"/>
        <v>9.697865169045869</v>
      </c>
      <c r="AK51" s="5">
        <f t="shared" si="36"/>
        <v>1940.1908498452194</v>
      </c>
      <c r="AL51" s="5">
        <f t="shared" si="18"/>
        <v>1109.6534327975371</v>
      </c>
      <c r="AM51" s="5">
        <f t="shared" si="37"/>
        <v>723.79450459964437</v>
      </c>
      <c r="AN51" s="5">
        <f t="shared" si="38"/>
        <v>-84.728566697213509</v>
      </c>
      <c r="AO51" s="5">
        <f>(AK51+AH51)*Defense!B48</f>
        <v>22.014345750824535</v>
      </c>
      <c r="AP51" s="41">
        <f t="shared" si="39"/>
        <v>698.2</v>
      </c>
      <c r="AQ51" s="42">
        <f t="shared" si="40"/>
        <v>348.4</v>
      </c>
      <c r="AR51" s="42">
        <f t="shared" si="41"/>
        <v>349.79</v>
      </c>
      <c r="AS51" s="36">
        <f>Capital!C50</f>
        <v>4554.7451653265507</v>
      </c>
      <c r="AT51" s="5">
        <f>Capital!D50</f>
        <v>215.68784429733839</v>
      </c>
      <c r="AU51" s="5">
        <f>Capital!E50</f>
        <v>4339.0573210292123</v>
      </c>
      <c r="AV51" s="41">
        <v>698.2</v>
      </c>
      <c r="AW51" s="42">
        <v>348.4</v>
      </c>
      <c r="AX51" s="64">
        <v>349.78999999999996</v>
      </c>
      <c r="AZ51" s="36">
        <f t="shared" si="20"/>
        <v>2201.4345750824536</v>
      </c>
      <c r="BA51" s="5">
        <f t="shared" si="21"/>
        <v>261.24372523723423</v>
      </c>
      <c r="BB51" s="5">
        <f t="shared" si="22"/>
        <v>251.54586006818835</v>
      </c>
      <c r="BC51" s="5">
        <f t="shared" si="23"/>
        <v>9.697865169045869</v>
      </c>
      <c r="BD51" s="5">
        <f t="shared" si="24"/>
        <v>1940.1908498452194</v>
      </c>
      <c r="BE51" s="5">
        <f t="shared" si="27"/>
        <v>1109.6534327975371</v>
      </c>
      <c r="BF51" s="5">
        <f t="shared" si="28"/>
        <v>723.79450459964437</v>
      </c>
      <c r="BG51" s="5">
        <f t="shared" si="25"/>
        <v>-84.728566697213509</v>
      </c>
      <c r="BH51" s="58">
        <f t="shared" si="26"/>
        <v>22.014345750824535</v>
      </c>
    </row>
    <row r="52" spans="1:60">
      <c r="A52" s="17">
        <f>'CSY2013'!A25</f>
        <v>1998</v>
      </c>
      <c r="B52" s="22">
        <f>'CSY2013'!B25</f>
        <v>124761</v>
      </c>
      <c r="C52" s="41">
        <f>'CSY2013'!C25</f>
        <v>70637</v>
      </c>
      <c r="D52" s="42">
        <f>'CSY2013'!D25</f>
        <v>35177</v>
      </c>
      <c r="E52" s="42">
        <f>'CSY2013'!E25</f>
        <v>16600</v>
      </c>
      <c r="F52" s="42">
        <f>'CSY2013'!F25</f>
        <v>18860</v>
      </c>
      <c r="G52" s="36">
        <f>'CSY2013'!G25</f>
        <v>84402.279768922002</v>
      </c>
      <c r="H52" s="5">
        <f>'CSY2013'!H25</f>
        <v>14817.625518145247</v>
      </c>
      <c r="I52" s="5">
        <f>'CSY2013'!I25</f>
        <v>39004.188543792865</v>
      </c>
      <c r="J52" s="5">
        <f>'CSY2013'!J25</f>
        <v>30580.465706983894</v>
      </c>
      <c r="K52" s="36">
        <f>'CSY2013'!K25/100*Merge60_CSY!K$32</f>
        <v>3069.7824604024613</v>
      </c>
      <c r="L52" s="5">
        <f>'CSY2013'!L25/100*Merge60_CSY!L$32</f>
        <v>447.70870204046821</v>
      </c>
      <c r="M52" s="5">
        <f>'CSY2013'!M25/100*Merge60_CSY!M$32</f>
        <v>13942.980522044996</v>
      </c>
      <c r="N52" s="5">
        <f>'CSY2013'!N25/100*Merge60_CSY!N$32</f>
        <v>3128.7533882011367</v>
      </c>
      <c r="O52" s="36">
        <f>'CSY2013'!O25</f>
        <v>51588.2</v>
      </c>
      <c r="P52" s="5">
        <f>'CSY2013'!P25</f>
        <v>39229.300000000003</v>
      </c>
      <c r="Q52" s="5">
        <f>'CSY2013'!Q25</f>
        <v>12358.9</v>
      </c>
      <c r="R52" s="5">
        <f>'CSY2013'!R25</f>
        <v>31314.2</v>
      </c>
      <c r="S52" s="5">
        <f>'CSY2013'!S25</f>
        <v>28569</v>
      </c>
      <c r="T52" s="5">
        <f>'CSY2013'!T25</f>
        <v>2745.2</v>
      </c>
      <c r="U52" s="5">
        <f>'CSY2013'!U25</f>
        <v>3629.2</v>
      </c>
      <c r="V52" s="22">
        <f>'CSY2013'!V25</f>
        <v>15223.6</v>
      </c>
      <c r="W52" s="4">
        <f>'CSY2013'!W25</f>
        <v>11626.1</v>
      </c>
      <c r="X52" s="18">
        <f>'CSY2013'!X25</f>
        <v>3597.5</v>
      </c>
      <c r="Y52" s="4"/>
      <c r="Z52" s="61">
        <f>V52*TradeCSY!B51-Merge60_CSY!W52*TradeCSY!D51</f>
        <v>524.9424071556316</v>
      </c>
      <c r="AA52" s="62">
        <f t="shared" si="29"/>
        <v>-3072.5575928443686</v>
      </c>
      <c r="AB52" s="4"/>
      <c r="AC52" s="63">
        <f t="shared" si="30"/>
        <v>3.5554560087951486</v>
      </c>
      <c r="AD52" s="6">
        <f t="shared" si="31"/>
        <v>5.4801861855218714</v>
      </c>
      <c r="AE52" s="6">
        <f t="shared" si="32"/>
        <v>3.3080492023757095</v>
      </c>
      <c r="AF52" s="6">
        <f t="shared" si="16"/>
        <v>1.6566217278709818</v>
      </c>
      <c r="AG52" s="36">
        <f t="shared" si="33"/>
        <v>2373.8805812850919</v>
      </c>
      <c r="AH52" s="5">
        <f t="shared" si="34"/>
        <v>270.38543977377992</v>
      </c>
      <c r="AI52" s="5">
        <f t="shared" si="17"/>
        <v>260.80652421535456</v>
      </c>
      <c r="AJ52" s="5">
        <f t="shared" si="35"/>
        <v>9.578915558425356</v>
      </c>
      <c r="AK52" s="5">
        <f t="shared" si="36"/>
        <v>2103.4951415113119</v>
      </c>
      <c r="AL52" s="5">
        <f t="shared" si="18"/>
        <v>1180.9755790627098</v>
      </c>
      <c r="AM52" s="5">
        <f t="shared" si="37"/>
        <v>803.52562172977878</v>
      </c>
      <c r="AN52" s="5">
        <f t="shared" si="38"/>
        <v>-92.881254324687177</v>
      </c>
      <c r="AO52" s="5">
        <f>(AK52+AH52)*Defense!B49</f>
        <v>26.112686394136013</v>
      </c>
      <c r="AP52" s="41">
        <f t="shared" si="39"/>
        <v>706.37</v>
      </c>
      <c r="AQ52" s="42">
        <f t="shared" si="40"/>
        <v>351.77</v>
      </c>
      <c r="AR52" s="42">
        <f t="shared" si="41"/>
        <v>354.6</v>
      </c>
      <c r="AS52" s="36">
        <f>Capital!C51</f>
        <v>5050.8024116598681</v>
      </c>
      <c r="AT52" s="5">
        <f>Capital!D51</f>
        <v>218.0273744784096</v>
      </c>
      <c r="AU52" s="5">
        <f>Capital!E51</f>
        <v>4832.7750371814582</v>
      </c>
      <c r="AV52" s="41">
        <v>706.37</v>
      </c>
      <c r="AW52" s="42">
        <v>351.77</v>
      </c>
      <c r="AX52" s="64">
        <v>354.6</v>
      </c>
      <c r="AZ52" s="36">
        <f t="shared" si="20"/>
        <v>2373.8805812850919</v>
      </c>
      <c r="BA52" s="5">
        <f t="shared" si="21"/>
        <v>270.38543977377992</v>
      </c>
      <c r="BB52" s="5">
        <f t="shared" si="22"/>
        <v>260.80652421535456</v>
      </c>
      <c r="BC52" s="5">
        <f t="shared" si="23"/>
        <v>9.578915558425356</v>
      </c>
      <c r="BD52" s="5">
        <f t="shared" si="24"/>
        <v>2103.4951415113119</v>
      </c>
      <c r="BE52" s="5">
        <f t="shared" si="27"/>
        <v>1180.9755790627098</v>
      </c>
      <c r="BF52" s="5">
        <f t="shared" si="28"/>
        <v>803.52562172977878</v>
      </c>
      <c r="BG52" s="5">
        <f t="shared" si="25"/>
        <v>-92.881254324687177</v>
      </c>
      <c r="BH52" s="58">
        <f t="shared" si="26"/>
        <v>26.112686394136013</v>
      </c>
    </row>
    <row r="53" spans="1:60">
      <c r="A53" s="17">
        <f>'CSY2013'!A26</f>
        <v>1999</v>
      </c>
      <c r="B53" s="22">
        <f>'CSY2013'!B26</f>
        <v>125786</v>
      </c>
      <c r="C53" s="41">
        <f>'CSY2013'!C26</f>
        <v>71394</v>
      </c>
      <c r="D53" s="42">
        <f>'CSY2013'!D26</f>
        <v>35768</v>
      </c>
      <c r="E53" s="42">
        <f>'CSY2013'!E26</f>
        <v>16421</v>
      </c>
      <c r="F53" s="42">
        <f>'CSY2013'!F26</f>
        <v>19205</v>
      </c>
      <c r="G53" s="36">
        <f>'CSY2013'!G26</f>
        <v>89677.054750904499</v>
      </c>
      <c r="H53" s="5">
        <f>'CSY2013'!H26</f>
        <v>14770.028471086789</v>
      </c>
      <c r="I53" s="5">
        <f>'CSY2013'!I26</f>
        <v>41033.581585429209</v>
      </c>
      <c r="J53" s="5">
        <f>'CSY2013'!J26</f>
        <v>33873.444694388505</v>
      </c>
      <c r="K53" s="36">
        <f>'CSY2013'!K26/100*Merge60_CSY!K$32</f>
        <v>3303.6948408978978</v>
      </c>
      <c r="L53" s="5">
        <f>'CSY2013'!L26/100*Merge60_CSY!L$32</f>
        <v>460.24454569760144</v>
      </c>
      <c r="M53" s="5">
        <f>'CSY2013'!M26/100*Merge60_CSY!M$32</f>
        <v>15077.34385122473</v>
      </c>
      <c r="N53" s="5">
        <f>'CSY2013'!N26/100*Merge60_CSY!N$32</f>
        <v>3420.6599640188442</v>
      </c>
      <c r="O53" s="36">
        <f>'CSY2013'!O26</f>
        <v>55636.9</v>
      </c>
      <c r="P53" s="5">
        <f>'CSY2013'!P26</f>
        <v>41920.400000000001</v>
      </c>
      <c r="Q53" s="5">
        <f>'CSY2013'!Q26</f>
        <v>13716.5</v>
      </c>
      <c r="R53" s="5">
        <f>'CSY2013'!R26</f>
        <v>32951.5</v>
      </c>
      <c r="S53" s="5">
        <f>'CSY2013'!S26</f>
        <v>30527.3</v>
      </c>
      <c r="T53" s="5">
        <f>'CSY2013'!T26</f>
        <v>2424.1999999999998</v>
      </c>
      <c r="U53" s="5">
        <f>'CSY2013'!U26</f>
        <v>2536.6</v>
      </c>
      <c r="V53" s="22">
        <f>'CSY2013'!V26</f>
        <v>16159.8</v>
      </c>
      <c r="W53" s="4">
        <f>'CSY2013'!W26</f>
        <v>13736.4</v>
      </c>
      <c r="X53" s="18">
        <f>'CSY2013'!X26</f>
        <v>2423.4</v>
      </c>
      <c r="Y53" s="4"/>
      <c r="Z53" s="61">
        <f>V53*TradeCSY!B52-Merge60_CSY!W53*TradeCSY!D52</f>
        <v>511.24694786780083</v>
      </c>
      <c r="AA53" s="62">
        <f t="shared" si="29"/>
        <v>-1912.1530521321988</v>
      </c>
      <c r="AB53" s="4"/>
      <c r="AC53" s="63">
        <f t="shared" si="30"/>
        <v>3.5101861128863545</v>
      </c>
      <c r="AD53" s="6">
        <f t="shared" si="31"/>
        <v>5.3137964780153215</v>
      </c>
      <c r="AE53" s="6">
        <f t="shared" si="32"/>
        <v>3.289998785758224</v>
      </c>
      <c r="AF53" s="6">
        <f t="shared" si="16"/>
        <v>1.6151363037025215</v>
      </c>
      <c r="AG53" s="36">
        <f t="shared" si="33"/>
        <v>2554.7663818077408</v>
      </c>
      <c r="AH53" s="5">
        <f t="shared" si="34"/>
        <v>277.95623208744581</v>
      </c>
      <c r="AI53" s="5">
        <f t="shared" si="17"/>
        <v>268.33510809477929</v>
      </c>
      <c r="AJ53" s="5">
        <f t="shared" si="35"/>
        <v>9.6211239926665222</v>
      </c>
      <c r="AK53" s="5">
        <f t="shared" si="36"/>
        <v>2276.8101497202952</v>
      </c>
      <c r="AL53" s="5">
        <f t="shared" si="18"/>
        <v>1318.3552448503972</v>
      </c>
      <c r="AM53" s="5">
        <f t="shared" si="37"/>
        <v>869.67753327751677</v>
      </c>
      <c r="AN53" s="5">
        <f t="shared" si="38"/>
        <v>-58.120175010688264</v>
      </c>
      <c r="AO53" s="5">
        <f>(AK53+AH53)*Defense!B50</f>
        <v>30.65719658169289</v>
      </c>
      <c r="AP53" s="41">
        <f t="shared" si="39"/>
        <v>713.94</v>
      </c>
      <c r="AQ53" s="42">
        <f t="shared" si="40"/>
        <v>357.68</v>
      </c>
      <c r="AR53" s="42">
        <f t="shared" si="41"/>
        <v>356.26</v>
      </c>
      <c r="AS53" s="36">
        <f>Capital!C52</f>
        <v>5601.7879128066525</v>
      </c>
      <c r="AT53" s="5">
        <f>Capital!D52</f>
        <v>222.62162184690419</v>
      </c>
      <c r="AU53" s="5">
        <f>Capital!E52</f>
        <v>5379.166290959748</v>
      </c>
      <c r="AV53" s="41">
        <v>713.94</v>
      </c>
      <c r="AW53" s="42">
        <v>357.68</v>
      </c>
      <c r="AX53" s="64">
        <v>356.26</v>
      </c>
      <c r="AZ53" s="36">
        <f t="shared" si="20"/>
        <v>2554.7663818077408</v>
      </c>
      <c r="BA53" s="5">
        <f t="shared" si="21"/>
        <v>277.95623208744581</v>
      </c>
      <c r="BB53" s="5">
        <f t="shared" si="22"/>
        <v>268.33510809477929</v>
      </c>
      <c r="BC53" s="5">
        <f t="shared" si="23"/>
        <v>9.6211239926665222</v>
      </c>
      <c r="BD53" s="5">
        <f t="shared" si="24"/>
        <v>2276.8101497202952</v>
      </c>
      <c r="BE53" s="5">
        <f t="shared" si="27"/>
        <v>1318.3552448503972</v>
      </c>
      <c r="BF53" s="5">
        <f t="shared" si="28"/>
        <v>869.67753327751677</v>
      </c>
      <c r="BG53" s="5">
        <f t="shared" si="25"/>
        <v>-58.120175010688264</v>
      </c>
      <c r="BH53" s="58">
        <f t="shared" si="26"/>
        <v>30.65719658169289</v>
      </c>
    </row>
    <row r="54" spans="1:60">
      <c r="A54" s="17">
        <f>'CSY2013'!A27</f>
        <v>2000</v>
      </c>
      <c r="B54" s="22">
        <f>'CSY2013'!B27</f>
        <v>126743</v>
      </c>
      <c r="C54" s="41">
        <f>'CSY2013'!C27</f>
        <v>72085</v>
      </c>
      <c r="D54" s="42">
        <f>'CSY2013'!D27</f>
        <v>36042.5</v>
      </c>
      <c r="E54" s="42">
        <f>'CSY2013'!E27</f>
        <v>16219.125</v>
      </c>
      <c r="F54" s="42">
        <f>'CSY2013'!F27</f>
        <v>19823.375</v>
      </c>
      <c r="G54" s="36">
        <f>'CSY2013'!G27</f>
        <v>99214.554308477207</v>
      </c>
      <c r="H54" s="5">
        <f>'CSY2013'!H27</f>
        <v>14944.722503171741</v>
      </c>
      <c r="I54" s="5">
        <f>'CSY2013'!I27</f>
        <v>45555.877958968071</v>
      </c>
      <c r="J54" s="5">
        <f>'CSY2013'!J27</f>
        <v>38713.953846337397</v>
      </c>
      <c r="K54" s="36">
        <f>'CSY2013'!K27/100*Merge60_CSY!K$32</f>
        <v>3582.2385851191193</v>
      </c>
      <c r="L54" s="5">
        <f>'CSY2013'!L27/100*Merge60_CSY!L$32</f>
        <v>471.2903547894802</v>
      </c>
      <c r="M54" s="5">
        <f>'CSY2013'!M27/100*Merge60_CSY!M$32</f>
        <v>16498.994279772858</v>
      </c>
      <c r="N54" s="5">
        <f>'CSY2013'!N27/100*Merge60_CSY!N$32</f>
        <v>3754.1379354287928</v>
      </c>
      <c r="O54" s="36">
        <f>'CSY2013'!O27</f>
        <v>61516</v>
      </c>
      <c r="P54" s="5">
        <f>'CSY2013'!P27</f>
        <v>45854.6</v>
      </c>
      <c r="Q54" s="5">
        <f>'CSY2013'!Q27</f>
        <v>15661.4</v>
      </c>
      <c r="R54" s="5">
        <f>'CSY2013'!R27</f>
        <v>34842.800000000003</v>
      </c>
      <c r="S54" s="5">
        <f>'CSY2013'!S27</f>
        <v>33844.400000000001</v>
      </c>
      <c r="T54" s="5">
        <f>'CSY2013'!T27</f>
        <v>998.4</v>
      </c>
      <c r="U54" s="5">
        <f>'CSY2013'!U27</f>
        <v>2390.1999999999998</v>
      </c>
      <c r="V54" s="22">
        <f>'CSY2013'!V27</f>
        <v>20634.400000000001</v>
      </c>
      <c r="W54" s="4">
        <f>'CSY2013'!W27</f>
        <v>18638.8</v>
      </c>
      <c r="X54" s="18">
        <f>'CSY2013'!X27</f>
        <v>1995.6</v>
      </c>
      <c r="Y54" s="4"/>
      <c r="Z54" s="61">
        <f>V54*TradeCSY!B53-Merge60_CSY!W54*TradeCSY!D53</f>
        <v>583.23630248842255</v>
      </c>
      <c r="AA54" s="62">
        <f t="shared" si="29"/>
        <v>-1412.3636975115796</v>
      </c>
      <c r="AB54" s="4"/>
      <c r="AC54" s="63">
        <f t="shared" si="30"/>
        <v>3.5815383913450276</v>
      </c>
      <c r="AD54" s="6">
        <f t="shared" si="31"/>
        <v>5.2506314818239872</v>
      </c>
      <c r="AE54" s="6">
        <f t="shared" si="32"/>
        <v>3.3904050985208309</v>
      </c>
      <c r="AF54" s="6">
        <f t="shared" si="16"/>
        <v>1.5486737806389972</v>
      </c>
      <c r="AG54" s="36">
        <f t="shared" si="33"/>
        <v>2770.165874760251</v>
      </c>
      <c r="AH54" s="5">
        <f t="shared" si="34"/>
        <v>284.62714541871026</v>
      </c>
      <c r="AI54" s="5">
        <f t="shared" si="17"/>
        <v>273.51921860062367</v>
      </c>
      <c r="AJ54" s="5">
        <f t="shared" si="35"/>
        <v>11.107926818086563</v>
      </c>
      <c r="AK54" s="5">
        <f t="shared" si="36"/>
        <v>2485.5387293415406</v>
      </c>
      <c r="AL54" s="5">
        <f t="shared" si="18"/>
        <v>1465.6708393332713</v>
      </c>
      <c r="AM54" s="5">
        <f t="shared" si="37"/>
        <v>944.96823157855124</v>
      </c>
      <c r="AN54" s="5">
        <f t="shared" si="38"/>
        <v>-41.657667932595047</v>
      </c>
      <c r="AO54" s="5">
        <f>(AK54+AH54)*Defense!B51</f>
        <v>33.241990497123012</v>
      </c>
      <c r="AP54" s="41">
        <f t="shared" si="39"/>
        <v>720.85</v>
      </c>
      <c r="AQ54" s="42">
        <f t="shared" si="40"/>
        <v>360.42500000000001</v>
      </c>
      <c r="AR54" s="42">
        <f t="shared" si="41"/>
        <v>360.42500000000001</v>
      </c>
      <c r="AS54" s="36">
        <f>Capital!C53</f>
        <v>6191.3760504438369</v>
      </c>
      <c r="AT54" s="5">
        <f>Capital!D53</f>
        <v>227.02805543328833</v>
      </c>
      <c r="AU54" s="5">
        <f>Capital!E53</f>
        <v>5964.3479950105484</v>
      </c>
      <c r="AV54" s="41">
        <v>720.85</v>
      </c>
      <c r="AW54" s="42">
        <v>360.43</v>
      </c>
      <c r="AX54" s="64">
        <v>360.41999999999996</v>
      </c>
      <c r="AZ54" s="36">
        <f t="shared" si="20"/>
        <v>2770.165874760251</v>
      </c>
      <c r="BA54" s="5">
        <f t="shared" si="21"/>
        <v>284.62714541871026</v>
      </c>
      <c r="BB54" s="5">
        <f t="shared" si="22"/>
        <v>273.51921860062367</v>
      </c>
      <c r="BC54" s="5">
        <f t="shared" si="23"/>
        <v>11.107926818086563</v>
      </c>
      <c r="BD54" s="5">
        <f t="shared" si="24"/>
        <v>2485.5387293415406</v>
      </c>
      <c r="BE54" s="5">
        <f t="shared" si="27"/>
        <v>1465.6708393332713</v>
      </c>
      <c r="BF54" s="5">
        <f t="shared" si="28"/>
        <v>944.96823157855124</v>
      </c>
      <c r="BG54" s="5">
        <f t="shared" si="25"/>
        <v>-41.657667932595047</v>
      </c>
      <c r="BH54" s="58">
        <f t="shared" si="26"/>
        <v>33.241990497123012</v>
      </c>
    </row>
    <row r="55" spans="1:60">
      <c r="A55" s="17">
        <f>'CSY2013'!A28</f>
        <v>2001</v>
      </c>
      <c r="B55" s="22">
        <f>'CSY2013'!B28</f>
        <v>127627</v>
      </c>
      <c r="C55" s="41">
        <f>'CSY2013'!C28</f>
        <v>72797</v>
      </c>
      <c r="D55" s="42">
        <f>'CSY2013'!D28</f>
        <v>36398.5</v>
      </c>
      <c r="E55" s="42">
        <f>'CSY2013'!E28</f>
        <v>16233.731000000002</v>
      </c>
      <c r="F55" s="42">
        <f>'CSY2013'!F28</f>
        <v>20164.769</v>
      </c>
      <c r="G55" s="36">
        <f>'CSY2013'!G28</f>
        <v>109655.17055815921</v>
      </c>
      <c r="H55" s="5">
        <f>'CSY2013'!H28</f>
        <v>15781.269049012264</v>
      </c>
      <c r="I55" s="5">
        <f>'CSY2013'!I28</f>
        <v>49512.290969951253</v>
      </c>
      <c r="J55" s="5">
        <f>'CSY2013'!J28</f>
        <v>44361.610539195695</v>
      </c>
      <c r="K55" s="36">
        <f>'CSY2013'!K28/100*Merge60_CSY!K$32</f>
        <v>3879.5757645654435</v>
      </c>
      <c r="L55" s="5">
        <f>'CSY2013'!L28/100*Merge60_CSY!L$32</f>
        <v>484.48681979007972</v>
      </c>
      <c r="M55" s="5">
        <f>'CSY2013'!M28/100*Merge60_CSY!M$32</f>
        <v>17891.759475427982</v>
      </c>
      <c r="N55" s="5">
        <f>'CSY2013'!N28/100*Merge60_CSY!N$32</f>
        <v>4139.215708981118</v>
      </c>
      <c r="O55" s="36">
        <f>'CSY2013'!O28</f>
        <v>66933.886846226553</v>
      </c>
      <c r="P55" s="5">
        <f>'CSY2013'!P28</f>
        <v>49435.858194085864</v>
      </c>
      <c r="Q55" s="5">
        <f>'CSY2013'!Q28</f>
        <v>17498.028652140685</v>
      </c>
      <c r="R55" s="5">
        <f>'CSY2013'!R28</f>
        <v>39769.4</v>
      </c>
      <c r="S55" s="5">
        <f>'CSY2013'!S28</f>
        <v>37754.5</v>
      </c>
      <c r="T55" s="5">
        <f>'CSY2013'!T28</f>
        <v>2014.9</v>
      </c>
      <c r="U55" s="5">
        <f>'CSY2013'!U28</f>
        <v>2324.6999999999998</v>
      </c>
      <c r="V55" s="22">
        <f>'CSY2013'!V28</f>
        <v>22024.400000000001</v>
      </c>
      <c r="W55" s="4">
        <f>'CSY2013'!W28</f>
        <v>20159.2</v>
      </c>
      <c r="X55" s="18">
        <f>'CSY2013'!X28</f>
        <v>1865.2</v>
      </c>
      <c r="Y55" s="4"/>
      <c r="Z55" s="61">
        <f>V55*TradeCSY!B54-Merge60_CSY!W55*TradeCSY!D54</f>
        <v>629.84418008295086</v>
      </c>
      <c r="AA55" s="62">
        <f t="shared" si="29"/>
        <v>-1235.3558199170498</v>
      </c>
      <c r="AB55" s="4"/>
      <c r="AC55" s="63">
        <f t="shared" si="30"/>
        <v>3.6550524172736294</v>
      </c>
      <c r="AD55" s="6">
        <f t="shared" si="31"/>
        <v>5.3935187371246922</v>
      </c>
      <c r="AE55" s="6">
        <f t="shared" si="32"/>
        <v>3.4671781488706293</v>
      </c>
      <c r="AF55" s="6">
        <f t="shared" si="16"/>
        <v>1.5555931958331977</v>
      </c>
      <c r="AG55" s="36">
        <f t="shared" si="33"/>
        <v>3000.0984401737528</v>
      </c>
      <c r="AH55" s="5">
        <f t="shared" si="34"/>
        <v>292.59690784768327</v>
      </c>
      <c r="AI55" s="5">
        <f t="shared" si="17"/>
        <v>280.91911064735825</v>
      </c>
      <c r="AJ55" s="5">
        <f t="shared" si="35"/>
        <v>11.677797200324989</v>
      </c>
      <c r="AK55" s="5">
        <f t="shared" si="36"/>
        <v>2707.5015323260695</v>
      </c>
      <c r="AL55" s="5">
        <f t="shared" si="18"/>
        <v>1599.9302028154791</v>
      </c>
      <c r="AM55" s="5">
        <f t="shared" si="37"/>
        <v>1032.9400427083826</v>
      </c>
      <c r="AN55" s="5">
        <f t="shared" si="38"/>
        <v>-35.630007079948996</v>
      </c>
      <c r="AO55" s="5">
        <f>(AK55+AH55)*Defense!B52</f>
        <v>39.001279722258786</v>
      </c>
      <c r="AP55" s="41">
        <f t="shared" si="39"/>
        <v>727.97</v>
      </c>
      <c r="AQ55" s="42">
        <f t="shared" si="40"/>
        <v>363.98500000000001</v>
      </c>
      <c r="AR55" s="42">
        <f t="shared" si="41"/>
        <v>363.98500000000001</v>
      </c>
      <c r="AS55" s="36">
        <f>Capital!C54</f>
        <v>6826.7754795001956</v>
      </c>
      <c r="AT55" s="5">
        <f>Capital!D54</f>
        <v>237.48773863873927</v>
      </c>
      <c r="AU55" s="5">
        <f>Capital!E54</f>
        <v>6589.2877408614568</v>
      </c>
      <c r="AV55" s="41">
        <f>AP55</f>
        <v>727.97</v>
      </c>
      <c r="AW55" s="42">
        <f>AQ55</f>
        <v>363.98500000000001</v>
      </c>
      <c r="AX55" s="64">
        <f>AR55</f>
        <v>363.98500000000001</v>
      </c>
      <c r="AZ55" s="36">
        <f t="shared" si="20"/>
        <v>3000.0984401737528</v>
      </c>
      <c r="BA55" s="5">
        <f t="shared" si="21"/>
        <v>292.59690784768327</v>
      </c>
      <c r="BB55" s="5">
        <f t="shared" si="22"/>
        <v>280.91911064735825</v>
      </c>
      <c r="BC55" s="5">
        <f t="shared" si="23"/>
        <v>11.677797200324989</v>
      </c>
      <c r="BD55" s="5">
        <f t="shared" si="24"/>
        <v>2707.5015323260695</v>
      </c>
      <c r="BE55" s="5">
        <f t="shared" si="27"/>
        <v>1599.9302028154791</v>
      </c>
      <c r="BF55" s="5">
        <f t="shared" si="28"/>
        <v>1032.9400427083826</v>
      </c>
      <c r="BG55" s="5">
        <f t="shared" si="25"/>
        <v>-35.630007079948996</v>
      </c>
      <c r="BH55" s="58">
        <f t="shared" si="26"/>
        <v>39.001279722258786</v>
      </c>
    </row>
    <row r="56" spans="1:60">
      <c r="A56" s="17">
        <f>'CSY2013'!A29</f>
        <v>2002</v>
      </c>
      <c r="B56" s="22">
        <f>'CSY2013'!B29</f>
        <v>128453</v>
      </c>
      <c r="C56" s="41">
        <f>'CSY2013'!C29</f>
        <v>73280</v>
      </c>
      <c r="D56" s="42">
        <f>'CSY2013'!D29</f>
        <v>36640</v>
      </c>
      <c r="E56" s="42">
        <f>'CSY2013'!E29</f>
        <v>15681.92</v>
      </c>
      <c r="F56" s="42">
        <f>'CSY2013'!F29</f>
        <v>20958.080000000002</v>
      </c>
      <c r="G56" s="36">
        <f>'CSY2013'!G29</f>
        <v>120332.68927425226</v>
      </c>
      <c r="H56" s="5">
        <f>'CSY2013'!H29</f>
        <v>16537.019657742621</v>
      </c>
      <c r="I56" s="5">
        <f>'CSY2013'!I29</f>
        <v>53896.767792499406</v>
      </c>
      <c r="J56" s="5">
        <f>'CSY2013'!J29</f>
        <v>49898.90182401023</v>
      </c>
      <c r="K56" s="36">
        <f>'CSY2013'!K29/100*Merge60_CSY!K$32</f>
        <v>4231.9214724354351</v>
      </c>
      <c r="L56" s="5">
        <f>'CSY2013'!L29/100*Merge60_CSY!L$32</f>
        <v>498.53705999213417</v>
      </c>
      <c r="M56" s="5">
        <f>'CSY2013'!M29/100*Merge60_CSY!M$32</f>
        <v>19650.392744279303</v>
      </c>
      <c r="N56" s="5">
        <f>'CSY2013'!N29/100*Merge60_CSY!N$32</f>
        <v>4571.4454003459778</v>
      </c>
      <c r="O56" s="36">
        <f>'CSY2013'!O29</f>
        <v>71816.515009944473</v>
      </c>
      <c r="P56" s="5">
        <f>'CSY2013'!P29</f>
        <v>53056.565610040561</v>
      </c>
      <c r="Q56" s="5">
        <f>'CSY2013'!Q29</f>
        <v>18759.949399903908</v>
      </c>
      <c r="R56" s="5">
        <f>'CSY2013'!R29</f>
        <v>45565</v>
      </c>
      <c r="S56" s="5">
        <f>'CSY2013'!S29</f>
        <v>43632.1</v>
      </c>
      <c r="T56" s="5">
        <f>'CSY2013'!T29</f>
        <v>1932.9</v>
      </c>
      <c r="U56" s="5">
        <f>'CSY2013'!U29</f>
        <v>3094.1</v>
      </c>
      <c r="V56" s="22">
        <f>'CSY2013'!V29</f>
        <v>26947.9</v>
      </c>
      <c r="W56" s="4">
        <f>'CSY2013'!W29</f>
        <v>24430.3</v>
      </c>
      <c r="X56" s="18">
        <f>'CSY2013'!X29</f>
        <v>2517.6</v>
      </c>
      <c r="Y56" s="4"/>
      <c r="Z56" s="61">
        <f>V56*TradeCSY!B55-Merge60_CSY!W56*TradeCSY!D55</f>
        <v>699.59636103760863</v>
      </c>
      <c r="AA56" s="62">
        <f t="shared" si="29"/>
        <v>-1818.0036389623936</v>
      </c>
      <c r="AB56" s="4"/>
      <c r="AC56" s="63">
        <f t="shared" si="30"/>
        <v>3.677009525028212</v>
      </c>
      <c r="AD56" s="6">
        <f t="shared" si="31"/>
        <v>5.492524831553049</v>
      </c>
      <c r="AE56" s="6">
        <f t="shared" si="32"/>
        <v>3.4930546612203415</v>
      </c>
      <c r="AF56" s="6">
        <f t="shared" si="16"/>
        <v>1.5724130780232819</v>
      </c>
      <c r="AG56" s="36">
        <f t="shared" si="33"/>
        <v>3272.5694196652648</v>
      </c>
      <c r="AH56" s="5">
        <f t="shared" si="34"/>
        <v>301.08229211349175</v>
      </c>
      <c r="AI56" s="5">
        <f t="shared" si="17"/>
        <v>288.34504681204822</v>
      </c>
      <c r="AJ56" s="5">
        <f t="shared" si="35"/>
        <v>12.737245301443508</v>
      </c>
      <c r="AK56" s="5">
        <f t="shared" si="36"/>
        <v>2971.487127551773</v>
      </c>
      <c r="AL56" s="5">
        <f t="shared" si="18"/>
        <v>1687.0057423763494</v>
      </c>
      <c r="AM56" s="5">
        <f t="shared" si="37"/>
        <v>1186.6191725370968</v>
      </c>
      <c r="AN56" s="5">
        <f t="shared" si="38"/>
        <v>-52.046240763013195</v>
      </c>
      <c r="AO56" s="5">
        <f>(AK56+AH56)*Defense!B53</f>
        <v>45.8159718753137</v>
      </c>
      <c r="AP56" s="41">
        <f t="shared" si="39"/>
        <v>732.8</v>
      </c>
      <c r="AQ56" s="42">
        <f t="shared" si="40"/>
        <v>366.4</v>
      </c>
      <c r="AR56" s="42">
        <f t="shared" si="41"/>
        <v>366.4</v>
      </c>
      <c r="AS56" s="36">
        <f>Capital!C55</f>
        <v>7518.3767482335688</v>
      </c>
      <c r="AT56" s="5">
        <f>Capital!D55</f>
        <v>249.45264764903087</v>
      </c>
      <c r="AU56" s="5">
        <f>Capital!E55</f>
        <v>7268.9241005845379</v>
      </c>
      <c r="AV56" s="41">
        <f t="shared" ref="AV56:AV66" si="42">AP56</f>
        <v>732.8</v>
      </c>
      <c r="AW56" s="42">
        <f t="shared" ref="AW56:AW66" si="43">AQ56</f>
        <v>366.4</v>
      </c>
      <c r="AX56" s="64">
        <f t="shared" ref="AX56:AX66" si="44">AR56</f>
        <v>366.4</v>
      </c>
      <c r="AZ56" s="36">
        <f t="shared" si="20"/>
        <v>3272.5694196652648</v>
      </c>
      <c r="BA56" s="5">
        <f t="shared" si="21"/>
        <v>301.08229211349175</v>
      </c>
      <c r="BB56" s="5">
        <f t="shared" si="22"/>
        <v>288.34504681204822</v>
      </c>
      <c r="BC56" s="5">
        <f t="shared" si="23"/>
        <v>12.737245301443508</v>
      </c>
      <c r="BD56" s="5">
        <f t="shared" si="24"/>
        <v>2971.487127551773</v>
      </c>
      <c r="BE56" s="5">
        <f t="shared" si="27"/>
        <v>1687.0057423763494</v>
      </c>
      <c r="BF56" s="5">
        <f t="shared" si="28"/>
        <v>1186.6191725370968</v>
      </c>
      <c r="BG56" s="5">
        <f t="shared" si="25"/>
        <v>-52.046240763013195</v>
      </c>
      <c r="BH56" s="58">
        <f t="shared" si="26"/>
        <v>45.8159718753137</v>
      </c>
    </row>
    <row r="57" spans="1:60">
      <c r="A57" s="17">
        <f>'CSY2013'!A30</f>
        <v>2003</v>
      </c>
      <c r="B57" s="22">
        <f>'CSY2013'!B30</f>
        <v>129227</v>
      </c>
      <c r="C57" s="41">
        <f>'CSY2013'!C30</f>
        <v>73736</v>
      </c>
      <c r="D57" s="42">
        <f>'CSY2013'!D30</f>
        <v>36204.376000000004</v>
      </c>
      <c r="E57" s="42">
        <f>'CSY2013'!E30</f>
        <v>15926.976000000001</v>
      </c>
      <c r="F57" s="42">
        <f>'CSY2013'!F30</f>
        <v>21604.648000000001</v>
      </c>
      <c r="G57" s="36">
        <f>'CSY2013'!G30</f>
        <v>135822.75614955736</v>
      </c>
      <c r="H57" s="5">
        <f>'CSY2013'!H30</f>
        <v>17381.717701090576</v>
      </c>
      <c r="I57" s="5">
        <f>'CSY2013'!I30</f>
        <v>62436.312136031615</v>
      </c>
      <c r="J57" s="5">
        <f>'CSY2013'!J30</f>
        <v>56004.726312435174</v>
      </c>
      <c r="K57" s="36">
        <f>'CSY2013'!K30/100*Merge60_CSY!K$32</f>
        <v>4656.1876289344473</v>
      </c>
      <c r="L57" s="5">
        <f>'CSY2013'!L30/100*Merge60_CSY!L$32</f>
        <v>511.0002448574466</v>
      </c>
      <c r="M57" s="5">
        <f>'CSY2013'!M30/100*Merge60_CSY!M$32</f>
        <v>22140.472212755718</v>
      </c>
      <c r="N57" s="5">
        <f>'CSY2013'!N30/100*Merge60_CSY!N$32</f>
        <v>5005.8699081812665</v>
      </c>
      <c r="O57" s="36">
        <f>'CSY2013'!O30</f>
        <v>77685.512250323518</v>
      </c>
      <c r="P57" s="5">
        <f>'CSY2013'!P30</f>
        <v>57649.81249205854</v>
      </c>
      <c r="Q57" s="5">
        <f>'CSY2013'!Q30</f>
        <v>20035.699758264971</v>
      </c>
      <c r="R57" s="5">
        <f>'CSY2013'!R30</f>
        <v>55963</v>
      </c>
      <c r="S57" s="5">
        <f>'CSY2013'!S30</f>
        <v>53490.7</v>
      </c>
      <c r="T57" s="5">
        <f>'CSY2013'!T30</f>
        <v>2472.3000000000002</v>
      </c>
      <c r="U57" s="5">
        <f>'CSY2013'!U30</f>
        <v>2964.9148528171863</v>
      </c>
      <c r="V57" s="36">
        <f>'CSY2013'!V30</f>
        <v>36287.9</v>
      </c>
      <c r="W57" s="5">
        <f>'CSY2013'!W30</f>
        <v>34195.599999999999</v>
      </c>
      <c r="X57" s="58">
        <f>'CSY2013'!X30</f>
        <v>2092.3000000000002</v>
      </c>
      <c r="Y57" s="4"/>
      <c r="Z57" s="61">
        <f>V57*TradeCSY!B56-Merge60_CSY!W57*TradeCSY!D56</f>
        <v>762.67701218355307</v>
      </c>
      <c r="AA57" s="62">
        <f t="shared" si="29"/>
        <v>-1329.6229878164499</v>
      </c>
      <c r="AB57" s="4"/>
      <c r="AC57" s="63">
        <f t="shared" si="30"/>
        <v>3.7721660227900502</v>
      </c>
      <c r="AD57" s="6">
        <f t="shared" si="31"/>
        <v>5.632274574047325</v>
      </c>
      <c r="AE57" s="6">
        <f t="shared" si="32"/>
        <v>3.5977922981491792</v>
      </c>
      <c r="AF57" s="6">
        <f t="shared" si="16"/>
        <v>1.5654807468860137</v>
      </c>
      <c r="AG57" s="36">
        <f t="shared" si="33"/>
        <v>3600.6568992182702</v>
      </c>
      <c r="AH57" s="5">
        <f t="shared" si="34"/>
        <v>308.60920348562053</v>
      </c>
      <c r="AI57" s="5">
        <f t="shared" si="17"/>
        <v>295.06801329404402</v>
      </c>
      <c r="AJ57" s="5">
        <f t="shared" si="35"/>
        <v>13.541190191576492</v>
      </c>
      <c r="AK57" s="5">
        <f t="shared" si="36"/>
        <v>3292.0476957326496</v>
      </c>
      <c r="AL57" s="5">
        <f t="shared" si="18"/>
        <v>1786.6451261544446</v>
      </c>
      <c r="AM57" s="5">
        <f t="shared" si="37"/>
        <v>1418.036737429602</v>
      </c>
      <c r="AN57" s="5">
        <f t="shared" si="38"/>
        <v>-36.956635559547195</v>
      </c>
      <c r="AO57" s="5">
        <f>(AK57+AH57)*Defense!B54</f>
        <v>50.409196589055774</v>
      </c>
      <c r="AP57" s="41">
        <f t="shared" si="39"/>
        <v>737.36</v>
      </c>
      <c r="AQ57" s="42">
        <f t="shared" si="40"/>
        <v>362.04376000000002</v>
      </c>
      <c r="AR57" s="42">
        <f t="shared" si="41"/>
        <v>375.31624000000005</v>
      </c>
      <c r="AS57" s="36">
        <f>Capital!C56</f>
        <v>8329.0770833589868</v>
      </c>
      <c r="AT57" s="5">
        <f>Capital!D56</f>
        <v>273.76520961522931</v>
      </c>
      <c r="AU57" s="5">
        <f>Capital!E56</f>
        <v>8055.3118737437571</v>
      </c>
      <c r="AV57" s="41">
        <f t="shared" si="42"/>
        <v>737.36</v>
      </c>
      <c r="AW57" s="42">
        <f t="shared" si="43"/>
        <v>362.04376000000002</v>
      </c>
      <c r="AX57" s="64">
        <f t="shared" si="44"/>
        <v>375.31624000000005</v>
      </c>
      <c r="AZ57" s="36">
        <f t="shared" si="20"/>
        <v>3600.6568992182702</v>
      </c>
      <c r="BA57" s="5">
        <f t="shared" si="21"/>
        <v>308.60920348562053</v>
      </c>
      <c r="BB57" s="5">
        <f t="shared" si="22"/>
        <v>295.06801329404402</v>
      </c>
      <c r="BC57" s="5">
        <f t="shared" si="23"/>
        <v>13.541190191576492</v>
      </c>
      <c r="BD57" s="5">
        <f t="shared" si="24"/>
        <v>3292.0476957326496</v>
      </c>
      <c r="BE57" s="5">
        <f t="shared" si="27"/>
        <v>1786.6451261544446</v>
      </c>
      <c r="BF57" s="5">
        <f t="shared" si="28"/>
        <v>1418.036737429602</v>
      </c>
      <c r="BG57" s="5">
        <f t="shared" si="25"/>
        <v>-36.956635559547195</v>
      </c>
      <c r="BH57" s="58">
        <f t="shared" si="26"/>
        <v>50.409196589055774</v>
      </c>
    </row>
    <row r="58" spans="1:60">
      <c r="A58" s="17">
        <f>'CSY2013'!A31</f>
        <v>2004</v>
      </c>
      <c r="B58" s="22">
        <f>'CSY2013'!B31</f>
        <v>129988</v>
      </c>
      <c r="C58" s="41">
        <f>'CSY2013'!C31</f>
        <v>74264</v>
      </c>
      <c r="D58" s="42">
        <f>'CSY2013'!D31</f>
        <v>34829.815999999999</v>
      </c>
      <c r="E58" s="42">
        <f>'CSY2013'!E31</f>
        <v>16709.400000000001</v>
      </c>
      <c r="F58" s="42">
        <f>'CSY2013'!F31</f>
        <v>22724.784</v>
      </c>
      <c r="G58" s="36">
        <f>'CSY2013'!G31</f>
        <v>159878.33791738964</v>
      </c>
      <c r="H58" s="5">
        <f>'CSY2013'!H31</f>
        <v>21412.734041131451</v>
      </c>
      <c r="I58" s="5">
        <f>'CSY2013'!I31</f>
        <v>73904.311870643694</v>
      </c>
      <c r="J58" s="5">
        <f>'CSY2013'!J31</f>
        <v>64561.292005614494</v>
      </c>
      <c r="K58" s="36">
        <f>'CSY2013'!K31/100*Merge60_CSY!K$32</f>
        <v>5125.7660079418656</v>
      </c>
      <c r="L58" s="5">
        <f>'CSY2013'!L31/100*Merge60_CSY!L$32</f>
        <v>543.19339727411307</v>
      </c>
      <c r="M58" s="5">
        <f>'CSY2013'!M31/100*Merge60_CSY!M$32</f>
        <v>24600.822182355409</v>
      </c>
      <c r="N58" s="5">
        <f>'CSY2013'!N31/100*Merge60_CSY!N$32</f>
        <v>5509.2820166659676</v>
      </c>
      <c r="O58" s="36">
        <f>'CSY2013'!O31</f>
        <v>87552.579700605478</v>
      </c>
      <c r="P58" s="5">
        <f>'CSY2013'!P31</f>
        <v>65218.479700605472</v>
      </c>
      <c r="Q58" s="5">
        <f>'CSY2013'!Q31</f>
        <v>22334.12</v>
      </c>
      <c r="R58" s="5">
        <f>'CSY2013'!R31</f>
        <v>69168.41129283153</v>
      </c>
      <c r="S58" s="5">
        <f>'CSY2013'!S31</f>
        <v>65117.7</v>
      </c>
      <c r="T58" s="5">
        <f>'CSY2013'!T31</f>
        <v>4050.7</v>
      </c>
      <c r="U58" s="5">
        <f>'CSY2013'!U31</f>
        <v>4235.6012940666187</v>
      </c>
      <c r="V58" s="36">
        <f>'CSY2013'!V31</f>
        <v>49103.3</v>
      </c>
      <c r="W58" s="5">
        <f>'CSY2013'!W31</f>
        <v>46435.8</v>
      </c>
      <c r="X58" s="58">
        <f>'CSY2013'!X31</f>
        <v>2667.5</v>
      </c>
      <c r="Y58" s="4"/>
      <c r="Z58" s="61">
        <f>V58*TradeCSY!B57-Merge60_CSY!W58*TradeCSY!D57</f>
        <v>522.48878381283043</v>
      </c>
      <c r="AA58" s="62">
        <f t="shared" si="29"/>
        <v>-2145.0112161871693</v>
      </c>
      <c r="AB58" s="4"/>
      <c r="AC58" s="63">
        <f t="shared" si="30"/>
        <v>4.0334769602043989</v>
      </c>
      <c r="AD58" s="6">
        <f t="shared" si="31"/>
        <v>6.5272444123597895</v>
      </c>
      <c r="AE58" s="6">
        <f t="shared" si="32"/>
        <v>3.808464676293422</v>
      </c>
      <c r="AF58" s="6">
        <f t="shared" si="16"/>
        <v>1.7138781548874473</v>
      </c>
      <c r="AG58" s="36">
        <f t="shared" si="33"/>
        <v>3963.7845832467005</v>
      </c>
      <c r="AH58" s="5">
        <f t="shared" si="34"/>
        <v>328.0516660381976</v>
      </c>
      <c r="AI58" s="5">
        <f t="shared" si="17"/>
        <v>320.04692849805798</v>
      </c>
      <c r="AJ58" s="5">
        <f t="shared" si="35"/>
        <v>8.0047375401396295</v>
      </c>
      <c r="AK58" s="5">
        <f t="shared" si="36"/>
        <v>3635.7329172085028</v>
      </c>
      <c r="AL58" s="5">
        <f t="shared" si="18"/>
        <v>1897.5954361122567</v>
      </c>
      <c r="AM58" s="5">
        <f t="shared" si="37"/>
        <v>1614.4309399179042</v>
      </c>
      <c r="AN58" s="5">
        <f t="shared" si="38"/>
        <v>-56.322203263147919</v>
      </c>
      <c r="AO58" s="5">
        <f>(AK58+AH58)*Defense!B55</f>
        <v>67.38433791519391</v>
      </c>
      <c r="AP58" s="41">
        <f t="shared" si="39"/>
        <v>742.64</v>
      </c>
      <c r="AQ58" s="42">
        <f t="shared" si="40"/>
        <v>348.29816</v>
      </c>
      <c r="AR58" s="42">
        <f t="shared" si="41"/>
        <v>394.34183999999999</v>
      </c>
      <c r="AS58" s="36">
        <f>Capital!C57</f>
        <v>9330.6599666206384</v>
      </c>
      <c r="AT58" s="5">
        <f>Capital!D57</f>
        <v>302.24295676485832</v>
      </c>
      <c r="AU58" s="5">
        <f>Capital!E57</f>
        <v>9028.4170098557806</v>
      </c>
      <c r="AV58" s="41">
        <f t="shared" si="42"/>
        <v>742.64</v>
      </c>
      <c r="AW58" s="42">
        <f t="shared" si="43"/>
        <v>348.29816</v>
      </c>
      <c r="AX58" s="64">
        <f t="shared" si="44"/>
        <v>394.34183999999999</v>
      </c>
      <c r="AZ58" s="36">
        <f t="shared" si="20"/>
        <v>3963.7845832467005</v>
      </c>
      <c r="BA58" s="5">
        <f t="shared" si="21"/>
        <v>328.0516660381976</v>
      </c>
      <c r="BB58" s="5">
        <f t="shared" si="22"/>
        <v>320.04692849805798</v>
      </c>
      <c r="BC58" s="5">
        <f t="shared" si="23"/>
        <v>8.0047375401396295</v>
      </c>
      <c r="BD58" s="5">
        <f t="shared" si="24"/>
        <v>3635.7329172085028</v>
      </c>
      <c r="BE58" s="5">
        <f t="shared" si="27"/>
        <v>1897.5954361122567</v>
      </c>
      <c r="BF58" s="5">
        <f t="shared" si="28"/>
        <v>1614.4309399179042</v>
      </c>
      <c r="BG58" s="5">
        <f t="shared" si="25"/>
        <v>-56.322203263147919</v>
      </c>
      <c r="BH58" s="58">
        <f t="shared" si="26"/>
        <v>67.38433791519391</v>
      </c>
    </row>
    <row r="59" spans="1:60">
      <c r="A59" s="17">
        <f>'CSY2013'!A32</f>
        <v>2005</v>
      </c>
      <c r="B59" s="22">
        <f>'CSY2013'!B32</f>
        <v>130756</v>
      </c>
      <c r="C59" s="41">
        <f>'CSY2013'!C32</f>
        <v>74647</v>
      </c>
      <c r="D59" s="42">
        <f>'CSY2013'!D32</f>
        <v>33441.856</v>
      </c>
      <c r="E59" s="42">
        <f>'CSY2013'!E32</f>
        <v>17765.986000000001</v>
      </c>
      <c r="F59" s="42">
        <f>'CSY2013'!F32</f>
        <v>23439.157999999999</v>
      </c>
      <c r="G59" s="36">
        <f>'CSY2013'!G32</f>
        <v>184937.36896018017</v>
      </c>
      <c r="H59" s="5">
        <f>'CSY2013'!H32</f>
        <v>22420</v>
      </c>
      <c r="I59" s="5">
        <f>'CSY2013'!I32</f>
        <v>87598.09378580685</v>
      </c>
      <c r="J59" s="5">
        <f>'CSY2013'!J32</f>
        <v>74919.275174373324</v>
      </c>
      <c r="K59" s="36">
        <f>'CSY2013'!K32/100*Merge60_CSY!K$32</f>
        <v>5705.4919489055565</v>
      </c>
      <c r="L59" s="5">
        <f>'CSY2013'!L32/100*Merge60_CSY!L$32</f>
        <v>571.60632584878681</v>
      </c>
      <c r="M59" s="5">
        <f>'CSY2013'!M32/100*Merge60_CSY!M$32</f>
        <v>27573.173385139409</v>
      </c>
      <c r="N59" s="5">
        <f>'CSY2013'!N32/100*Merge60_CSY!N$32</f>
        <v>6183.0572934894217</v>
      </c>
      <c r="O59" s="36">
        <f>'CSY2013'!O32</f>
        <v>99357.54316751119</v>
      </c>
      <c r="P59" s="5">
        <f>'CSY2013'!P32</f>
        <v>72958.714367511202</v>
      </c>
      <c r="Q59" s="5">
        <f>'CSY2013'!Q32</f>
        <v>26398.828799999992</v>
      </c>
      <c r="R59" s="5">
        <f>'CSY2013'!R32</f>
        <v>77856.823738716848</v>
      </c>
      <c r="S59" s="5">
        <f>'CSY2013'!S32</f>
        <v>74232.899999999994</v>
      </c>
      <c r="T59" s="5">
        <f>'CSY2013'!T32</f>
        <v>3624</v>
      </c>
      <c r="U59" s="5">
        <f>'CSY2013'!U32</f>
        <v>10209.053372217328</v>
      </c>
      <c r="V59" s="36">
        <f>'CSY2013'!V32</f>
        <v>62648.1</v>
      </c>
      <c r="W59" s="5">
        <f>'CSY2013'!W32</f>
        <v>54273.7</v>
      </c>
      <c r="X59" s="58">
        <f>'CSY2013'!X32</f>
        <v>8374.4</v>
      </c>
      <c r="Y59" s="4"/>
      <c r="Z59" s="61">
        <f>V59*TradeCSY!B58-Merge60_CSY!W59*TradeCSY!D58</f>
        <v>854.02229358365616</v>
      </c>
      <c r="AA59" s="62">
        <f t="shared" si="29"/>
        <v>-7520.3777064163451</v>
      </c>
      <c r="AB59" s="4"/>
      <c r="AC59" s="63">
        <f t="shared" si="30"/>
        <v>4.1916046204491595</v>
      </c>
      <c r="AD59" s="6">
        <f t="shared" si="31"/>
        <v>6.4945761965191888</v>
      </c>
      <c r="AE59" s="6">
        <f t="shared" si="32"/>
        <v>3.9961202091346637</v>
      </c>
      <c r="AF59" s="6">
        <f t="shared" si="16"/>
        <v>1.6252204279724485</v>
      </c>
      <c r="AG59" s="36">
        <f t="shared" si="33"/>
        <v>4412.0900157888191</v>
      </c>
      <c r="AH59" s="5">
        <f t="shared" si="34"/>
        <v>345.21113189827764</v>
      </c>
      <c r="AI59" s="5">
        <f t="shared" si="17"/>
        <v>332.06135479594144</v>
      </c>
      <c r="AJ59" s="5">
        <f t="shared" si="35"/>
        <v>13.149777102336177</v>
      </c>
      <c r="AK59" s="5">
        <f t="shared" si="36"/>
        <v>4066.8788838905416</v>
      </c>
      <c r="AL59" s="5">
        <f t="shared" si="18"/>
        <v>2045.9276128436461</v>
      </c>
      <c r="AM59" s="5">
        <f t="shared" si="37"/>
        <v>1770.9900317851407</v>
      </c>
      <c r="AN59" s="5">
        <f t="shared" si="38"/>
        <v>-188.19197904071157</v>
      </c>
      <c r="AO59" s="5">
        <f>(AK59+AH59)*Defense!B56</f>
        <v>61.76926022104346</v>
      </c>
      <c r="AP59" s="41">
        <f t="shared" si="39"/>
        <v>746.47</v>
      </c>
      <c r="AQ59" s="42">
        <f t="shared" si="40"/>
        <v>334.41856000000001</v>
      </c>
      <c r="AR59" s="42">
        <f t="shared" si="41"/>
        <v>412.05144000000001</v>
      </c>
      <c r="AS59" s="36">
        <f>Capital!C58</f>
        <v>10478.557908207509</v>
      </c>
      <c r="AT59" s="5">
        <f>Capital!D58</f>
        <v>330.4411932312471</v>
      </c>
      <c r="AU59" s="5">
        <f>Capital!E58</f>
        <v>10148.116714976262</v>
      </c>
      <c r="AV59" s="41">
        <f t="shared" si="42"/>
        <v>746.47</v>
      </c>
      <c r="AW59" s="42">
        <f t="shared" si="43"/>
        <v>334.41856000000001</v>
      </c>
      <c r="AX59" s="64">
        <f t="shared" si="44"/>
        <v>412.05144000000001</v>
      </c>
      <c r="AZ59" s="36">
        <f t="shared" si="20"/>
        <v>4412.0900157888191</v>
      </c>
      <c r="BA59" s="5">
        <f t="shared" si="21"/>
        <v>345.21113189827764</v>
      </c>
      <c r="BB59" s="5">
        <f t="shared" si="22"/>
        <v>332.06135479594144</v>
      </c>
      <c r="BC59" s="5">
        <f t="shared" si="23"/>
        <v>13.149777102336177</v>
      </c>
      <c r="BD59" s="5">
        <f t="shared" si="24"/>
        <v>4066.8788838905416</v>
      </c>
      <c r="BE59" s="5">
        <f t="shared" si="27"/>
        <v>2045.9276128436461</v>
      </c>
      <c r="BF59" s="5">
        <f t="shared" si="28"/>
        <v>1770.9900317851407</v>
      </c>
      <c r="BG59" s="5">
        <f t="shared" si="25"/>
        <v>-188.19197904071157</v>
      </c>
      <c r="BH59" s="58">
        <f t="shared" si="26"/>
        <v>61.76926022104346</v>
      </c>
    </row>
    <row r="60" spans="1:60">
      <c r="A60" s="17">
        <f>'CSY2013'!A33</f>
        <v>2006</v>
      </c>
      <c r="B60" s="22">
        <f>'CSY2013'!B33</f>
        <v>131448</v>
      </c>
      <c r="C60" s="41">
        <f>'CSY2013'!C33</f>
        <v>74978</v>
      </c>
      <c r="D60" s="42">
        <f>'CSY2013'!D33</f>
        <v>31940.628000000004</v>
      </c>
      <c r="E60" s="42">
        <f>'CSY2013'!E33</f>
        <v>18894.455999999998</v>
      </c>
      <c r="F60" s="42">
        <f>'CSY2013'!F33</f>
        <v>24142.916000000001</v>
      </c>
      <c r="G60" s="36">
        <f>'CSY2013'!G33</f>
        <v>216314.42593935409</v>
      </c>
      <c r="H60" s="5">
        <f>'CSY2013'!H33</f>
        <v>24040</v>
      </c>
      <c r="I60" s="5">
        <f>'CSY2013'!I33</f>
        <v>103719.54158238039</v>
      </c>
      <c r="J60" s="5">
        <f>'CSY2013'!J33</f>
        <v>88554.884356973693</v>
      </c>
      <c r="K60" s="36">
        <f>'CSY2013'!K33/100*Merge60_CSY!K$32</f>
        <v>6428.7505878395596</v>
      </c>
      <c r="L60" s="5">
        <f>'CSY2013'!L33/100*Merge60_CSY!L$32</f>
        <v>600.18664214122612</v>
      </c>
      <c r="M60" s="5">
        <f>'CSY2013'!M33/100*Merge60_CSY!M$32</f>
        <v>31265.531503827759</v>
      </c>
      <c r="N60" s="5">
        <f>'CSY2013'!N33/100*Merge60_CSY!N$32</f>
        <v>7057.2337360124884</v>
      </c>
      <c r="O60" s="36">
        <f>'CSY2013'!O33</f>
        <v>113103.84834683378</v>
      </c>
      <c r="P60" s="5">
        <f>'CSY2013'!P33</f>
        <v>82575.450746833783</v>
      </c>
      <c r="Q60" s="5">
        <f>'CSY2013'!Q33</f>
        <v>30528.397599999993</v>
      </c>
      <c r="R60" s="5">
        <f>'CSY2013'!R33</f>
        <v>92954.078954749479</v>
      </c>
      <c r="S60" s="5">
        <f>'CSY2013'!S33</f>
        <v>87954.1</v>
      </c>
      <c r="T60" s="5">
        <f>'CSY2013'!T33</f>
        <v>5000</v>
      </c>
      <c r="U60" s="5">
        <f>'CSY2013'!U33</f>
        <v>16654.598823338267</v>
      </c>
      <c r="V60" s="36">
        <f>'CSY2013'!V33</f>
        <v>77597.2</v>
      </c>
      <c r="W60" s="5">
        <f>'CSY2013'!W33</f>
        <v>63376.856297189996</v>
      </c>
      <c r="X60" s="58">
        <f>'CSY2013'!X33</f>
        <v>14220.3</v>
      </c>
      <c r="Y60" s="4"/>
      <c r="Z60" s="61">
        <f>V60*TradeCSY!B59-Merge60_CSY!W60*TradeCSY!D59</f>
        <v>986.50284837535924</v>
      </c>
      <c r="AA60" s="62">
        <f t="shared" si="29"/>
        <v>-13233.840854434642</v>
      </c>
      <c r="AB60" s="4"/>
      <c r="AC60" s="63">
        <f t="shared" si="30"/>
        <v>4.3511859034422864</v>
      </c>
      <c r="AD60" s="6">
        <f t="shared" si="31"/>
        <v>6.6322421207391908</v>
      </c>
      <c r="AE60" s="6">
        <f t="shared" si="32"/>
        <v>4.1717906046084616</v>
      </c>
      <c r="AF60" s="6">
        <f t="shared" si="16"/>
        <v>1.5897830810138784</v>
      </c>
      <c r="AG60" s="36">
        <f t="shared" si="33"/>
        <v>4971.3901161571748</v>
      </c>
      <c r="AH60" s="5">
        <f t="shared" si="34"/>
        <v>362.47168849319149</v>
      </c>
      <c r="AI60" s="5">
        <f t="shared" si="17"/>
        <v>347.59733936033126</v>
      </c>
      <c r="AJ60" s="5">
        <f t="shared" si="35"/>
        <v>14.874349132860205</v>
      </c>
      <c r="AK60" s="5">
        <f t="shared" si="36"/>
        <v>4608.9184276639835</v>
      </c>
      <c r="AL60" s="5">
        <f t="shared" si="18"/>
        <v>2205.6860168380372</v>
      </c>
      <c r="AM60" s="5">
        <f t="shared" si="37"/>
        <v>2021.3822611076728</v>
      </c>
      <c r="AN60" s="5">
        <f t="shared" si="38"/>
        <v>-317.22207820822996</v>
      </c>
      <c r="AO60" s="5">
        <f>(AK60+AH60)*Defense!B57</f>
        <v>64.628071510043284</v>
      </c>
      <c r="AP60" s="41">
        <f t="shared" si="39"/>
        <v>749.78</v>
      </c>
      <c r="AQ60" s="42">
        <f t="shared" si="40"/>
        <v>319.40628000000004</v>
      </c>
      <c r="AR60" s="42">
        <f t="shared" si="41"/>
        <v>430.37372000000005</v>
      </c>
      <c r="AS60" s="36">
        <f>Capital!C59</f>
        <v>11725.620044582274</v>
      </c>
      <c r="AT60" s="5">
        <f>Capital!D59</f>
        <v>360.27506262787836</v>
      </c>
      <c r="AU60" s="5">
        <f>Capital!E59</f>
        <v>11365.344981954397</v>
      </c>
      <c r="AV60" s="41">
        <f t="shared" si="42"/>
        <v>749.78</v>
      </c>
      <c r="AW60" s="42">
        <f t="shared" si="43"/>
        <v>319.40628000000004</v>
      </c>
      <c r="AX60" s="64">
        <f t="shared" si="44"/>
        <v>430.37372000000005</v>
      </c>
      <c r="AZ60" s="36">
        <f t="shared" si="20"/>
        <v>4971.3901161571748</v>
      </c>
      <c r="BA60" s="5">
        <f t="shared" si="21"/>
        <v>362.47168849319149</v>
      </c>
      <c r="BB60" s="5">
        <f t="shared" si="22"/>
        <v>347.59733936033126</v>
      </c>
      <c r="BC60" s="5">
        <f t="shared" si="23"/>
        <v>14.874349132860205</v>
      </c>
      <c r="BD60" s="5">
        <f t="shared" si="24"/>
        <v>4608.9184276639835</v>
      </c>
      <c r="BE60" s="5">
        <f t="shared" si="27"/>
        <v>2205.6860168380372</v>
      </c>
      <c r="BF60" s="5">
        <f t="shared" si="28"/>
        <v>2021.3822611076728</v>
      </c>
      <c r="BG60" s="5">
        <f t="shared" si="25"/>
        <v>-317.22207820822996</v>
      </c>
      <c r="BH60" s="58">
        <f t="shared" si="26"/>
        <v>64.628071510043284</v>
      </c>
    </row>
    <row r="61" spans="1:60">
      <c r="A61" s="17">
        <f>'CSY2013'!A34</f>
        <v>2007</v>
      </c>
      <c r="B61" s="22">
        <f>'CSY2013'!B34</f>
        <v>132129</v>
      </c>
      <c r="C61" s="41">
        <f>'CSY2013'!C34</f>
        <v>75321</v>
      </c>
      <c r="D61" s="42">
        <f>'CSY2013'!D34</f>
        <v>30730.967999999997</v>
      </c>
      <c r="E61" s="42">
        <f>'CSY2013'!E34</f>
        <v>20186.028000000002</v>
      </c>
      <c r="F61" s="42">
        <f>'CSY2013'!F34</f>
        <v>24404.004000000001</v>
      </c>
      <c r="G61" s="36">
        <f>'CSY2013'!G34</f>
        <v>265810.30584365001</v>
      </c>
      <c r="H61" s="5">
        <f>'CSY2013'!H34</f>
        <v>28627</v>
      </c>
      <c r="I61" s="5">
        <f>'CSY2013'!I34</f>
        <v>125831.35804184723</v>
      </c>
      <c r="J61" s="5">
        <f>'CSY2013'!J34</f>
        <v>111351.9478018028</v>
      </c>
      <c r="K61" s="36">
        <f>'CSY2013'!K34/100*Merge60_CSY!K$32</f>
        <v>7339.2156394442463</v>
      </c>
      <c r="L61" s="5">
        <f>'CSY2013'!L34/100*Merge60_CSY!L$32</f>
        <v>622.65763002299377</v>
      </c>
      <c r="M61" s="5">
        <f>'CSY2013'!M34/100*Merge60_CSY!M$32</f>
        <v>35975.16159462685</v>
      </c>
      <c r="N61" s="5">
        <f>'CSY2013'!N34/100*Merge60_CSY!N$32</f>
        <v>8185.2642069995509</v>
      </c>
      <c r="O61" s="36">
        <f>'CSY2013'!O34</f>
        <v>132232.8676761098</v>
      </c>
      <c r="P61" s="5">
        <f>'CSY2013'!P34</f>
        <v>96332.496293109798</v>
      </c>
      <c r="Q61" s="5">
        <f>'CSY2013'!Q34</f>
        <v>35900.371383000005</v>
      </c>
      <c r="R61" s="5">
        <f>'CSY2013'!R34</f>
        <v>110943.24513986355</v>
      </c>
      <c r="S61" s="5">
        <f>'CSY2013'!S34</f>
        <v>103948.6</v>
      </c>
      <c r="T61" s="5">
        <f>'CSY2013'!T34</f>
        <v>6994.6</v>
      </c>
      <c r="U61" s="5">
        <f>'CSY2013'!U34</f>
        <v>23423.059628686315</v>
      </c>
      <c r="V61" s="36">
        <f>'CSY2013'!V34</f>
        <v>93563.6</v>
      </c>
      <c r="W61" s="5">
        <f>'CSY2013'!W34</f>
        <v>73300.100000000006</v>
      </c>
      <c r="X61" s="58">
        <f>'CSY2013'!X34</f>
        <v>20263.5</v>
      </c>
      <c r="Y61" s="4"/>
      <c r="Z61" s="61">
        <f>V61*TradeCSY!B60-Merge60_CSY!W61*TradeCSY!D60</f>
        <v>935.00911677266345</v>
      </c>
      <c r="AA61" s="62">
        <f t="shared" si="29"/>
        <v>-19328.490883227336</v>
      </c>
      <c r="AB61" s="4"/>
      <c r="AC61" s="63">
        <f t="shared" si="30"/>
        <v>4.6835040423004441</v>
      </c>
      <c r="AD61" s="6">
        <f t="shared" si="31"/>
        <v>7.6127007497529107</v>
      </c>
      <c r="AE61" s="6">
        <f t="shared" si="32"/>
        <v>4.4756503928570766</v>
      </c>
      <c r="AF61" s="6">
        <f t="shared" si="16"/>
        <v>1.7009149691187713</v>
      </c>
      <c r="AG61" s="36">
        <f t="shared" si="33"/>
        <v>5675.4580212359388</v>
      </c>
      <c r="AH61" s="5">
        <f t="shared" si="34"/>
        <v>376.04262851037669</v>
      </c>
      <c r="AI61" s="5">
        <f t="shared" si="17"/>
        <v>363.76040243176703</v>
      </c>
      <c r="AJ61" s="5">
        <f t="shared" si="35"/>
        <v>12.282226078609638</v>
      </c>
      <c r="AK61" s="5">
        <f t="shared" si="36"/>
        <v>5299.415392725562</v>
      </c>
      <c r="AL61" s="5">
        <f t="shared" si="18"/>
        <v>2568.6380020473698</v>
      </c>
      <c r="AM61" s="5">
        <f t="shared" si="37"/>
        <v>2219.4621604072004</v>
      </c>
      <c r="AN61" s="5">
        <f t="shared" si="38"/>
        <v>-431.85881797368893</v>
      </c>
      <c r="AO61" s="5">
        <f>(AK61+AH61)*Defense!B58</f>
        <v>79.456412297303132</v>
      </c>
      <c r="AP61" s="41">
        <f t="shared" si="39"/>
        <v>753.21</v>
      </c>
      <c r="AQ61" s="42">
        <f t="shared" si="40"/>
        <v>307.30967999999996</v>
      </c>
      <c r="AR61" s="42">
        <f t="shared" si="41"/>
        <v>445.90032000000008</v>
      </c>
      <c r="AS61" s="36">
        <f>Capital!C60</f>
        <v>13160.721303460832</v>
      </c>
      <c r="AT61" s="5">
        <f>Capital!D60</f>
        <v>392.79556722213403</v>
      </c>
      <c r="AU61" s="5">
        <f>Capital!E60</f>
        <v>12767.925736238698</v>
      </c>
      <c r="AV61" s="41">
        <f t="shared" si="42"/>
        <v>753.21</v>
      </c>
      <c r="AW61" s="42">
        <f t="shared" si="43"/>
        <v>307.30967999999996</v>
      </c>
      <c r="AX61" s="64">
        <f t="shared" si="44"/>
        <v>445.90032000000008</v>
      </c>
      <c r="AZ61" s="36">
        <f t="shared" si="20"/>
        <v>5675.4580212359388</v>
      </c>
      <c r="BA61" s="5">
        <f t="shared" si="21"/>
        <v>376.04262851037669</v>
      </c>
      <c r="BB61" s="5">
        <f t="shared" si="22"/>
        <v>363.76040243176703</v>
      </c>
      <c r="BC61" s="5">
        <f t="shared" si="23"/>
        <v>12.282226078609638</v>
      </c>
      <c r="BD61" s="5">
        <f t="shared" si="24"/>
        <v>5299.415392725562</v>
      </c>
      <c r="BE61" s="5">
        <f t="shared" si="27"/>
        <v>2568.6380020473698</v>
      </c>
      <c r="BF61" s="5">
        <f t="shared" si="28"/>
        <v>2219.4621604072004</v>
      </c>
      <c r="BG61" s="5">
        <f t="shared" si="25"/>
        <v>-431.85881797368893</v>
      </c>
      <c r="BH61" s="58">
        <f t="shared" si="26"/>
        <v>79.456412297303132</v>
      </c>
    </row>
    <row r="62" spans="1:60">
      <c r="A62" s="17">
        <f>'CSY2013'!A35</f>
        <v>2008</v>
      </c>
      <c r="B62" s="22">
        <f>'CSY2013'!B35</f>
        <v>132802</v>
      </c>
      <c r="C62" s="41">
        <f>'CSY2013'!C35</f>
        <v>75564</v>
      </c>
      <c r="D62" s="42">
        <f>'CSY2013'!D35</f>
        <v>29923.343999999997</v>
      </c>
      <c r="E62" s="42">
        <f>'CSY2013'!E35</f>
        <v>20553.407999999999</v>
      </c>
      <c r="F62" s="42">
        <f>'CSY2013'!F35</f>
        <v>25087.248000000003</v>
      </c>
      <c r="G62" s="36">
        <f>'CSY2013'!G35</f>
        <v>314045.42708655354</v>
      </c>
      <c r="H62" s="5">
        <f>'CSY2013'!H35</f>
        <v>33702</v>
      </c>
      <c r="I62" s="5">
        <f>'CSY2013'!I35</f>
        <v>149003.44</v>
      </c>
      <c r="J62" s="5">
        <f>'CSY2013'!J35</f>
        <v>131339.9870865535</v>
      </c>
      <c r="K62" s="36">
        <f>'CSY2013'!K35/100*Merge60_CSY!K$32</f>
        <v>8046.3247156181997</v>
      </c>
      <c r="L62" s="5">
        <f>'CSY2013'!L35/100*Merge60_CSY!L$32</f>
        <v>656.14714917814194</v>
      </c>
      <c r="M62" s="5">
        <f>'CSY2013'!M35/100*Merge60_CSY!M$32</f>
        <v>39528.594570055611</v>
      </c>
      <c r="N62" s="5">
        <f>'CSY2013'!N35/100*Merge60_CSY!N$32</f>
        <v>9036.7724425249762</v>
      </c>
      <c r="O62" s="36">
        <f>'CSY2013'!O35</f>
        <v>153422.49389960407</v>
      </c>
      <c r="P62" s="5">
        <f>'CSY2013'!P35</f>
        <v>111670.40089960409</v>
      </c>
      <c r="Q62" s="5">
        <f>'CSY2013'!Q35</f>
        <v>41752.092999999986</v>
      </c>
      <c r="R62" s="5">
        <f>'CSY2013'!R35</f>
        <v>138325.30398486511</v>
      </c>
      <c r="S62" s="5">
        <f>'CSY2013'!S35</f>
        <v>128084.4</v>
      </c>
      <c r="T62" s="5">
        <f>'CSY2013'!T35</f>
        <v>10240.9</v>
      </c>
      <c r="U62" s="5">
        <f>'CSY2013'!U35</f>
        <v>24226.768260073848</v>
      </c>
      <c r="V62" s="36">
        <f>'CSY2013'!V35</f>
        <v>100394.94142387</v>
      </c>
      <c r="W62" s="5">
        <f>'CSY2013'!W35</f>
        <v>79526.528770260004</v>
      </c>
      <c r="X62" s="58">
        <f>'CSY2013'!X35</f>
        <v>20868.412653609994</v>
      </c>
      <c r="Y62" s="4"/>
      <c r="Z62" s="61">
        <f>V62*TradeCSY!B61-Merge60_CSY!W62*TradeCSY!D61</f>
        <v>588.76540635308015</v>
      </c>
      <c r="AA62" s="62">
        <f t="shared" si="29"/>
        <v>-20279.647247256915</v>
      </c>
      <c r="AB62" s="4"/>
      <c r="AC62" s="63">
        <f t="shared" si="30"/>
        <v>5.0471202428684006</v>
      </c>
      <c r="AD62" s="6">
        <f t="shared" si="31"/>
        <v>8.504850082837967</v>
      </c>
      <c r="AE62" s="6">
        <f t="shared" si="32"/>
        <v>4.8119353221695897</v>
      </c>
      <c r="AF62" s="6">
        <f t="shared" si="16"/>
        <v>1.7674489604326868</v>
      </c>
      <c r="AG62" s="36">
        <f t="shared" si="33"/>
        <v>6222.2695710549178</v>
      </c>
      <c r="AH62" s="5">
        <f t="shared" si="34"/>
        <v>396.2680079218286</v>
      </c>
      <c r="AI62" s="5">
        <f t="shared" si="17"/>
        <v>389.34530616202738</v>
      </c>
      <c r="AJ62" s="5">
        <f t="shared" si="35"/>
        <v>6.9227017598012281</v>
      </c>
      <c r="AK62" s="5">
        <f t="shared" si="36"/>
        <v>5826.0015631330889</v>
      </c>
      <c r="AL62" s="5">
        <f t="shared" si="18"/>
        <v>2779.6731569600856</v>
      </c>
      <c r="AM62" s="5">
        <f t="shared" si="37"/>
        <v>2537.7719142115493</v>
      </c>
      <c r="AN62" s="5">
        <f t="shared" si="38"/>
        <v>-421.44471796668483</v>
      </c>
      <c r="AO62" s="5">
        <f>(AK62+AH62)*Defense!B59</f>
        <v>87.111773994768839</v>
      </c>
      <c r="AP62" s="41">
        <f t="shared" si="39"/>
        <v>755.64</v>
      </c>
      <c r="AQ62" s="42">
        <f t="shared" si="40"/>
        <v>299.23343999999997</v>
      </c>
      <c r="AR62" s="42">
        <f t="shared" si="41"/>
        <v>456.40656000000001</v>
      </c>
      <c r="AS62" s="36">
        <f>Capital!C61</f>
        <v>14722.14739869499</v>
      </c>
      <c r="AT62" s="5">
        <f>Capital!D61</f>
        <v>428.16402220751525</v>
      </c>
      <c r="AU62" s="5">
        <f>Capital!E61</f>
        <v>14293.983376487475</v>
      </c>
      <c r="AV62" s="41">
        <f t="shared" si="42"/>
        <v>755.64</v>
      </c>
      <c r="AW62" s="42">
        <f t="shared" si="43"/>
        <v>299.23343999999997</v>
      </c>
      <c r="AX62" s="64">
        <f t="shared" si="44"/>
        <v>456.40656000000001</v>
      </c>
      <c r="AZ62" s="36">
        <f t="shared" si="20"/>
        <v>6222.2695710549178</v>
      </c>
      <c r="BA62" s="5">
        <f t="shared" si="21"/>
        <v>396.2680079218286</v>
      </c>
      <c r="BB62" s="5">
        <f t="shared" si="22"/>
        <v>389.34530616202738</v>
      </c>
      <c r="BC62" s="5">
        <f t="shared" si="23"/>
        <v>6.9227017598012281</v>
      </c>
      <c r="BD62" s="5">
        <f t="shared" si="24"/>
        <v>5826.0015631330889</v>
      </c>
      <c r="BE62" s="5">
        <f t="shared" si="27"/>
        <v>2779.6731569600856</v>
      </c>
      <c r="BF62" s="5">
        <f t="shared" si="28"/>
        <v>2537.7719142115493</v>
      </c>
      <c r="BG62" s="5">
        <f t="shared" si="25"/>
        <v>-421.44471796668483</v>
      </c>
      <c r="BH62" s="58">
        <f t="shared" si="26"/>
        <v>87.111773994768839</v>
      </c>
    </row>
    <row r="63" spans="1:60">
      <c r="A63" s="17">
        <f>'CSY2013'!A36</f>
        <v>2009</v>
      </c>
      <c r="B63" s="22">
        <f>'CSY2013'!B36</f>
        <v>133450</v>
      </c>
      <c r="C63" s="41">
        <f>'CSY2013'!C36</f>
        <v>75828</v>
      </c>
      <c r="D63" s="42">
        <f>'CSY2013'!D36</f>
        <v>28890.468000000004</v>
      </c>
      <c r="E63" s="42">
        <f>'CSY2013'!E36</f>
        <v>21080.183999999997</v>
      </c>
      <c r="F63" s="42">
        <f>'CSY2013'!F36</f>
        <v>25857.348000000002</v>
      </c>
      <c r="G63" s="36">
        <f>'CSY2013'!G36</f>
        <v>340902.81258114678</v>
      </c>
      <c r="H63" s="5">
        <f>'CSY2013'!H36</f>
        <v>35226</v>
      </c>
      <c r="I63" s="5">
        <f>'CSY2013'!I36</f>
        <v>157638.77657270228</v>
      </c>
      <c r="J63" s="5">
        <f>'CSY2013'!J36</f>
        <v>148038.0360084445</v>
      </c>
      <c r="K63" s="36">
        <f>'CSY2013'!K36/100*Merge60_CSY!K$32</f>
        <v>8787.7290822466475</v>
      </c>
      <c r="L63" s="5">
        <f>'CSY2013'!L36/100*Merge60_CSY!L$32</f>
        <v>683.59738580733506</v>
      </c>
      <c r="M63" s="5">
        <f>'CSY2013'!M36/100*Merge60_CSY!M$32</f>
        <v>43457.886700300747</v>
      </c>
      <c r="N63" s="5">
        <f>'CSY2013'!N36/100*Merge60_CSY!N$32</f>
        <v>9901.0268362199313</v>
      </c>
      <c r="O63" s="36">
        <f>'CSY2013'!O36</f>
        <v>169274.79885908985</v>
      </c>
      <c r="P63" s="5">
        <f>'CSY2013'!P36</f>
        <v>123584.62088159178</v>
      </c>
      <c r="Q63" s="5">
        <f>'CSY2013'!Q36</f>
        <v>45690.177977498075</v>
      </c>
      <c r="R63" s="5">
        <f>'CSY2013'!R36</f>
        <v>164463.22379397115</v>
      </c>
      <c r="S63" s="5">
        <f>'CSY2013'!S36</f>
        <v>156679.79999999999</v>
      </c>
      <c r="T63" s="5">
        <f>'CSY2013'!T36</f>
        <v>7783.4</v>
      </c>
      <c r="U63" s="5">
        <f>'CSY2013'!U36</f>
        <v>15037.044043281727</v>
      </c>
      <c r="V63" s="36">
        <f>'CSY2013'!V36</f>
        <v>82029.693934120005</v>
      </c>
      <c r="W63" s="5">
        <f>'CSY2013'!W36</f>
        <v>68618.3695744</v>
      </c>
      <c r="X63" s="58">
        <f>'CSY2013'!X36</f>
        <v>13411.324359720005</v>
      </c>
      <c r="Y63" s="4"/>
      <c r="Z63" s="61">
        <f>V63*TradeCSY!B62-Merge60_CSY!W63*TradeCSY!D62</f>
        <v>695.20461277262552</v>
      </c>
      <c r="AA63" s="62">
        <f t="shared" si="29"/>
        <v>-12716.119746947379</v>
      </c>
      <c r="AB63" s="4"/>
      <c r="AC63" s="63">
        <f t="shared" si="30"/>
        <v>5.0165212619612847</v>
      </c>
      <c r="AD63" s="6">
        <f t="shared" si="31"/>
        <v>8.5324779005441549</v>
      </c>
      <c r="AE63" s="6">
        <f t="shared" si="32"/>
        <v>4.7891039926395553</v>
      </c>
      <c r="AF63" s="6">
        <f>AD63/AE63</f>
        <v>1.7816438969915556</v>
      </c>
      <c r="AG63" s="36">
        <f t="shared" si="33"/>
        <v>6795.6018678941209</v>
      </c>
      <c r="AH63" s="5">
        <f t="shared" si="34"/>
        <v>412.84607367988002</v>
      </c>
      <c r="AI63" s="5">
        <f t="shared" si="17"/>
        <v>404.69832784477757</v>
      </c>
      <c r="AJ63" s="5">
        <f t="shared" si="35"/>
        <v>8.1477458351024747</v>
      </c>
      <c r="AK63" s="5">
        <f t="shared" si="36"/>
        <v>6382.7557942142412</v>
      </c>
      <c r="AL63" s="5">
        <f t="shared" si="18"/>
        <v>2898.1346142156649</v>
      </c>
      <c r="AM63" s="5">
        <f t="shared" si="37"/>
        <v>3123.2759081089525</v>
      </c>
      <c r="AN63" s="5">
        <f t="shared" si="38"/>
        <v>-265.52189650696607</v>
      </c>
      <c r="AO63" s="5">
        <f>(AK63+AH63)*Defense!B60</f>
        <v>95.823375382657716</v>
      </c>
      <c r="AP63" s="41">
        <f t="shared" ref="AP63:AQ66" si="45">C63/100</f>
        <v>758.28</v>
      </c>
      <c r="AQ63" s="42">
        <f t="shared" si="45"/>
        <v>288.90468000000004</v>
      </c>
      <c r="AR63" s="42">
        <f>(E63+F63)/100</f>
        <v>469.37531999999999</v>
      </c>
      <c r="AS63" s="36">
        <f>Capital!C62</f>
        <v>16523.811942971788</v>
      </c>
      <c r="AT63" s="5">
        <f>Capital!D62</f>
        <v>481.12107511791055</v>
      </c>
      <c r="AU63" s="5">
        <f>Capital!E62</f>
        <v>16042.690867853878</v>
      </c>
      <c r="AV63" s="41">
        <f t="shared" si="42"/>
        <v>758.28</v>
      </c>
      <c r="AW63" s="42">
        <f t="shared" si="43"/>
        <v>288.90468000000004</v>
      </c>
      <c r="AX63" s="64">
        <f t="shared" si="44"/>
        <v>469.37531999999999</v>
      </c>
      <c r="AZ63" s="36">
        <f t="shared" si="20"/>
        <v>6795.6018678941209</v>
      </c>
      <c r="BA63" s="5">
        <f t="shared" si="21"/>
        <v>412.84607367988002</v>
      </c>
      <c r="BB63" s="5">
        <f t="shared" si="22"/>
        <v>404.69832784477757</v>
      </c>
      <c r="BC63" s="5">
        <f t="shared" si="23"/>
        <v>8.1477458351024747</v>
      </c>
      <c r="BD63" s="5">
        <f t="shared" si="24"/>
        <v>6382.7557942142412</v>
      </c>
      <c r="BE63" s="5">
        <f t="shared" si="27"/>
        <v>2898.1346142156649</v>
      </c>
      <c r="BF63" s="5">
        <f t="shared" si="28"/>
        <v>3123.2759081089525</v>
      </c>
      <c r="BG63" s="5">
        <f t="shared" si="25"/>
        <v>-265.52189650696607</v>
      </c>
      <c r="BH63" s="58">
        <f t="shared" si="26"/>
        <v>95.823375382657716</v>
      </c>
    </row>
    <row r="64" spans="1:60">
      <c r="A64" s="17">
        <f>'CSY2013'!A37</f>
        <v>2010</v>
      </c>
      <c r="B64" s="22">
        <f>'CSY2013'!B37</f>
        <v>134091</v>
      </c>
      <c r="C64" s="41">
        <f>'CSY2013'!C37</f>
        <v>76105</v>
      </c>
      <c r="D64" s="42">
        <f>'CSY2013'!D37</f>
        <v>27930.535</v>
      </c>
      <c r="E64" s="42">
        <f>'CSY2013'!E37</f>
        <v>21842.134999999998</v>
      </c>
      <c r="F64" s="42">
        <f>'CSY2013'!F37</f>
        <v>26332.33</v>
      </c>
      <c r="G64" s="36">
        <f>'CSY2013'!G37</f>
        <v>401512.79520725785</v>
      </c>
      <c r="H64" s="5">
        <f>'CSY2013'!H37</f>
        <v>40533.599999999999</v>
      </c>
      <c r="I64" s="5">
        <f>'CSY2013'!I37</f>
        <v>187383.21125447945</v>
      </c>
      <c r="J64" s="5">
        <f>'CSY2013'!J37</f>
        <v>173595.98395277839</v>
      </c>
      <c r="K64" s="36">
        <f>'CSY2013'!K37/100*Merge60_CSY!K$32</f>
        <v>9705.7821881630061</v>
      </c>
      <c r="L64" s="5">
        <f>'CSY2013'!L37/100*Merge60_CSY!L$32</f>
        <v>712.79582690465838</v>
      </c>
      <c r="M64" s="5">
        <f>'CSY2013'!M37/100*Merge60_CSY!M$32</f>
        <v>48781.582571357503</v>
      </c>
      <c r="N64" s="5">
        <f>'CSY2013'!N37/100*Merge60_CSY!N$32</f>
        <v>10866.576666932699</v>
      </c>
      <c r="O64" s="36">
        <f>'CSY2013'!O37</f>
        <v>194114.95506736118</v>
      </c>
      <c r="P64" s="5">
        <f>'CSY2013'!P37</f>
        <v>140758.64687988264</v>
      </c>
      <c r="Q64" s="5">
        <f>'CSY2013'!Q37</f>
        <v>53356.308187478549</v>
      </c>
      <c r="R64" s="5">
        <f>'CSY2013'!R37</f>
        <v>193603.91114298758</v>
      </c>
      <c r="S64" s="5">
        <f>'CSY2013'!S37</f>
        <v>183615.2</v>
      </c>
      <c r="T64" s="5">
        <f>'CSY2013'!T37</f>
        <v>9988.7000000000007</v>
      </c>
      <c r="U64" s="5">
        <f>'CSY2013'!U37</f>
        <v>15097.600995597997</v>
      </c>
      <c r="V64" s="36">
        <f>'CSY2013'!V37</f>
        <v>107022.8428244</v>
      </c>
      <c r="W64" s="5">
        <f>'CSY2013'!W37</f>
        <v>94699.304156049999</v>
      </c>
      <c r="X64" s="58">
        <f>'CSY2013'!X37</f>
        <v>12323.538668349996</v>
      </c>
      <c r="Y64" s="4"/>
      <c r="Z64" s="61">
        <f>V64*TradeCSY!B63-Merge60_CSY!W64*TradeCSY!D63</f>
        <v>724.0933494191645</v>
      </c>
      <c r="AA64" s="62">
        <f t="shared" si="29"/>
        <v>-11599.445318930831</v>
      </c>
      <c r="AB64" s="4"/>
      <c r="AC64" s="63">
        <f t="shared" si="30"/>
        <v>5.3495540683262037</v>
      </c>
      <c r="AD64" s="6">
        <f t="shared" si="31"/>
        <v>9.4159092371100552</v>
      </c>
      <c r="AE64" s="6">
        <f t="shared" si="32"/>
        <v>5.1021378098861767</v>
      </c>
      <c r="AF64" s="6">
        <f>AD64/AE64</f>
        <v>1.8454831264779408</v>
      </c>
      <c r="AG64" s="36">
        <f t="shared" si="33"/>
        <v>7505.5376593826122</v>
      </c>
      <c r="AH64" s="5">
        <f t="shared" si="34"/>
        <v>430.47993538689451</v>
      </c>
      <c r="AI64" s="5">
        <f t="shared" si="17"/>
        <v>422.78982993679773</v>
      </c>
      <c r="AJ64" s="5">
        <f t="shared" si="35"/>
        <v>7.6901054500967581</v>
      </c>
      <c r="AK64" s="5">
        <f t="shared" si="36"/>
        <v>7075.0577239957174</v>
      </c>
      <c r="AL64" s="5">
        <f t="shared" si="18"/>
        <v>3315.9007781298697</v>
      </c>
      <c r="AM64" s="5">
        <f t="shared" si="37"/>
        <v>3432.345905000835</v>
      </c>
      <c r="AN64" s="5">
        <f t="shared" si="38"/>
        <v>-227.34480625856716</v>
      </c>
      <c r="AO64" s="5">
        <f>(AK64+AH64)*Defense!B61</f>
        <v>99.466234606445653</v>
      </c>
      <c r="AP64" s="41">
        <f t="shared" si="45"/>
        <v>761.05</v>
      </c>
      <c r="AQ64" s="42">
        <f t="shared" si="45"/>
        <v>279.30534999999998</v>
      </c>
      <c r="AR64" s="42">
        <f>(E64+F64)/100</f>
        <v>481.74464999999998</v>
      </c>
      <c r="AS64" s="36">
        <f>Capital!C63</f>
        <v>18820.897253932151</v>
      </c>
      <c r="AT64" s="5">
        <f>Capital!D63</f>
        <v>552.94512826136895</v>
      </c>
      <c r="AU64" s="5">
        <f>Capital!E63</f>
        <v>18267.952125670781</v>
      </c>
      <c r="AV64" s="41">
        <f t="shared" si="42"/>
        <v>761.05</v>
      </c>
      <c r="AW64" s="42">
        <f t="shared" si="43"/>
        <v>279.30534999999998</v>
      </c>
      <c r="AX64" s="64">
        <f t="shared" si="44"/>
        <v>481.74464999999998</v>
      </c>
      <c r="AZ64" s="36">
        <f t="shared" si="20"/>
        <v>7505.5376593826122</v>
      </c>
      <c r="BA64" s="5">
        <f t="shared" si="21"/>
        <v>430.47993538689451</v>
      </c>
      <c r="BB64" s="5">
        <f t="shared" si="22"/>
        <v>422.78982993679773</v>
      </c>
      <c r="BC64" s="5">
        <f t="shared" si="23"/>
        <v>7.6901054500967581</v>
      </c>
      <c r="BD64" s="5">
        <f t="shared" si="24"/>
        <v>7075.0577239957174</v>
      </c>
      <c r="BE64" s="5">
        <f t="shared" si="27"/>
        <v>3315.9007781298697</v>
      </c>
      <c r="BF64" s="5">
        <f t="shared" si="28"/>
        <v>3432.345905000835</v>
      </c>
      <c r="BG64" s="5">
        <f t="shared" si="25"/>
        <v>-227.34480625856716</v>
      </c>
      <c r="BH64" s="58">
        <f t="shared" si="26"/>
        <v>99.466234606445653</v>
      </c>
    </row>
    <row r="65" spans="1:60">
      <c r="A65" s="17">
        <f>'CSY2013'!A38</f>
        <v>2011</v>
      </c>
      <c r="B65" s="22">
        <f>'CSY2013'!B38</f>
        <v>134735</v>
      </c>
      <c r="C65" s="41">
        <f>'CSY2013'!C38</f>
        <v>76420</v>
      </c>
      <c r="D65" s="42">
        <f>'CSY2013'!D38</f>
        <v>26594</v>
      </c>
      <c r="E65" s="42">
        <f>'CSY2013'!E38</f>
        <v>22544</v>
      </c>
      <c r="F65" s="42">
        <f>'CSY2013'!F38</f>
        <v>27282</v>
      </c>
      <c r="G65" s="36">
        <f>'CSY2013'!G38</f>
        <v>473104.04864726227</v>
      </c>
      <c r="H65" s="5">
        <f>'CSY2013'!H38</f>
        <v>47486.210591548283</v>
      </c>
      <c r="I65" s="5">
        <f>'CSY2013'!I38</f>
        <v>220412.81430633471</v>
      </c>
      <c r="J65" s="5">
        <f>'CSY2013'!J38</f>
        <v>205205.02374937927</v>
      </c>
      <c r="K65" s="36">
        <f>'CSY2013'!K38/100*Merge60_CSY!K$32</f>
        <v>10608.408790979869</v>
      </c>
      <c r="L65" s="5">
        <f>'CSY2013'!L38/100*Merge60_CSY!L$32</f>
        <v>743.09284319244205</v>
      </c>
      <c r="M65" s="5">
        <f>'CSY2013'!M38/100*Merge60_CSY!M$32</f>
        <v>53798.648782790202</v>
      </c>
      <c r="N65" s="5">
        <f>'CSY2013'!N38/100*Merge60_CSY!N$32</f>
        <v>11889.752718275626</v>
      </c>
      <c r="O65" s="36">
        <f>'CSY2013'!O38</f>
        <v>232111.54809679446</v>
      </c>
      <c r="P65" s="5">
        <f>'CSY2013'!P38</f>
        <v>168956.6302617336</v>
      </c>
      <c r="Q65" s="5">
        <f>'CSY2013'!Q38</f>
        <v>63154.917835060871</v>
      </c>
      <c r="R65" s="5">
        <f>'CSY2013'!R38</f>
        <v>228344.27867671999</v>
      </c>
      <c r="S65" s="5">
        <f>'CSY2013'!S38</f>
        <v>216203.3</v>
      </c>
      <c r="T65" s="5">
        <f>'CSY2013'!T38</f>
        <v>121401</v>
      </c>
      <c r="U65" s="5">
        <f>'CSY2013'!U38</f>
        <v>12163.343973732321</v>
      </c>
      <c r="V65" s="36">
        <f>'CSY2013'!V38</f>
        <v>123240.59573912001</v>
      </c>
      <c r="W65" s="5">
        <f>'CSY2013'!W38</f>
        <v>113161.39621474</v>
      </c>
      <c r="X65" s="58">
        <f>'CSY2013'!X38</f>
        <v>10079.199524380005</v>
      </c>
      <c r="Y65" s="4"/>
      <c r="Z65" s="61">
        <f>V65*TradeCSY!B64-Merge60_CSY!W65*TradeCSY!D64</f>
        <v>631.85693457421939</v>
      </c>
      <c r="AA65" s="62">
        <f t="shared" si="29"/>
        <v>-9447.3425898057849</v>
      </c>
      <c r="AB65" s="4"/>
      <c r="AC65" s="63">
        <f t="shared" si="30"/>
        <v>5.767069037023953</v>
      </c>
      <c r="AD65" s="6">
        <f t="shared" si="31"/>
        <v>10.581242562322338</v>
      </c>
      <c r="AE65" s="6">
        <f t="shared" si="32"/>
        <v>5.4884672853063714</v>
      </c>
      <c r="AF65" s="6">
        <f>AD65/AE65</f>
        <v>1.9279048252050723</v>
      </c>
      <c r="AG65" s="36">
        <f t="shared" si="33"/>
        <v>8203.54404655096</v>
      </c>
      <c r="AH65" s="5">
        <f t="shared" si="34"/>
        <v>448.77726138362107</v>
      </c>
      <c r="AI65" s="5">
        <f t="shared" si="17"/>
        <v>442.80577995454831</v>
      </c>
      <c r="AJ65" s="5">
        <f t="shared" si="35"/>
        <v>5.9714814290727434</v>
      </c>
      <c r="AK65" s="5">
        <f t="shared" si="36"/>
        <v>7754.7667851673386</v>
      </c>
      <c r="AL65" s="5">
        <f t="shared" si="18"/>
        <v>3729.4373073647503</v>
      </c>
      <c r="AM65" s="5">
        <f t="shared" si="37"/>
        <v>3748.9285911439315</v>
      </c>
      <c r="AN65" s="5">
        <f t="shared" si="38"/>
        <v>-172.13079897730367</v>
      </c>
      <c r="AO65" s="5">
        <f>(AK65+AH65)*Defense!B62</f>
        <v>104.2700876813532</v>
      </c>
      <c r="AP65" s="41">
        <f t="shared" si="45"/>
        <v>764.2</v>
      </c>
      <c r="AQ65" s="42">
        <f t="shared" si="45"/>
        <v>265.94</v>
      </c>
      <c r="AR65" s="42">
        <f>(E65+F65)/100</f>
        <v>498.26</v>
      </c>
      <c r="AS65" s="36">
        <f>Capital!C64</f>
        <v>21312.198296236376</v>
      </c>
      <c r="AT65" s="5">
        <f>Capital!D64</f>
        <v>623.07795328719169</v>
      </c>
      <c r="AU65" s="5">
        <f>Capital!E64</f>
        <v>20689.120342949183</v>
      </c>
      <c r="AV65" s="41">
        <f t="shared" si="42"/>
        <v>764.2</v>
      </c>
      <c r="AW65" s="42">
        <f t="shared" si="43"/>
        <v>265.94</v>
      </c>
      <c r="AX65" s="64">
        <f t="shared" si="44"/>
        <v>498.26</v>
      </c>
      <c r="AZ65" s="36">
        <f t="shared" si="20"/>
        <v>8203.54404655096</v>
      </c>
      <c r="BA65" s="5">
        <f t="shared" si="21"/>
        <v>448.77726138362107</v>
      </c>
      <c r="BB65" s="5">
        <f t="shared" si="22"/>
        <v>442.80577995454831</v>
      </c>
      <c r="BC65" s="5">
        <f t="shared" si="23"/>
        <v>5.9714814290727434</v>
      </c>
      <c r="BD65" s="5">
        <f t="shared" si="24"/>
        <v>7754.7667851673386</v>
      </c>
      <c r="BE65" s="5">
        <f t="shared" si="27"/>
        <v>3729.4373073647503</v>
      </c>
      <c r="BF65" s="5">
        <f t="shared" si="28"/>
        <v>3748.9285911439315</v>
      </c>
      <c r="BG65" s="5">
        <f t="shared" si="25"/>
        <v>-172.13079897730367</v>
      </c>
      <c r="BH65" s="58">
        <f t="shared" si="26"/>
        <v>104.2700876813532</v>
      </c>
    </row>
    <row r="66" spans="1:60">
      <c r="A66" s="19">
        <f>'CSY2013'!A39</f>
        <v>2012</v>
      </c>
      <c r="B66" s="23">
        <f>'CSY2013'!B39</f>
        <v>135404</v>
      </c>
      <c r="C66" s="43">
        <f>'CSY2013'!C39</f>
        <v>76704</v>
      </c>
      <c r="D66" s="44">
        <f>'CSY2013'!D39</f>
        <v>25773</v>
      </c>
      <c r="E66" s="44">
        <f>'CSY2013'!E39</f>
        <v>23241</v>
      </c>
      <c r="F66" s="44">
        <f>'CSY2013'!F39</f>
        <v>27690</v>
      </c>
      <c r="G66" s="37">
        <f>'CSY2013'!G39</f>
        <v>518942.1073236987</v>
      </c>
      <c r="H66" s="38">
        <f>'CSY2013'!H39</f>
        <v>52373.6253143758</v>
      </c>
      <c r="I66" s="38">
        <f>'CSY2013'!I39</f>
        <v>235161.99473664351</v>
      </c>
      <c r="J66" s="38">
        <f>'CSY2013'!J39</f>
        <v>231406.48727267943</v>
      </c>
      <c r="K66" s="37">
        <f>'CSY2013'!K39/100*Merge60_CSY!K$32</f>
        <v>11420.210293452108</v>
      </c>
      <c r="L66" s="38">
        <f>'CSY2013'!L39/100*Merge60_CSY!L$32</f>
        <v>776.89479878271743</v>
      </c>
      <c r="M66" s="38">
        <f>'CSY2013'!M39/100*Merge60_CSY!M$32</f>
        <v>58057.506348344621</v>
      </c>
      <c r="N66" s="38">
        <f>'CSY2013'!N39/100*Merge60_CSY!N$32</f>
        <v>12847.570245834981</v>
      </c>
      <c r="O66" s="37">
        <f>'CSY2013'!O39</f>
        <v>261832.82249239337</v>
      </c>
      <c r="P66" s="38">
        <f>'CSY2013'!P39</f>
        <v>190423.77389239336</v>
      </c>
      <c r="Q66" s="38">
        <f>'CSY2013'!Q39</f>
        <v>71409.048599999995</v>
      </c>
      <c r="R66" s="38">
        <f>'CSY2013'!R39</f>
        <v>252773.23730923998</v>
      </c>
      <c r="S66" s="38">
        <f>'CSY2013'!S39</f>
        <v>239333.4</v>
      </c>
      <c r="T66" s="38">
        <f>'CSY2013'!T39</f>
        <v>13439.8</v>
      </c>
      <c r="U66" s="38">
        <f>'CSY2013'!U39</f>
        <v>14632.375</v>
      </c>
      <c r="V66" s="37">
        <f>'CSY2013'!V39</f>
        <v>129359.25</v>
      </c>
      <c r="W66" s="38">
        <f>'CSY2013'!W39</f>
        <v>114800.96000000001</v>
      </c>
      <c r="X66" s="59">
        <f>'CSY2013'!X39</f>
        <v>14558.29</v>
      </c>
      <c r="Y66" s="4"/>
      <c r="Z66" s="61">
        <f>V66*TradeCSY!B65-Merge60_CSY!W66*TradeCSY!D65</f>
        <v>191.15373394376684</v>
      </c>
      <c r="AA66" s="62">
        <f t="shared" si="29"/>
        <v>-14367.136266056226</v>
      </c>
      <c r="AB66" s="4"/>
      <c r="AC66" s="65">
        <f t="shared" si="30"/>
        <v>5.8761590514666002</v>
      </c>
      <c r="AD66" s="66">
        <f t="shared" si="31"/>
        <v>11.162530475300343</v>
      </c>
      <c r="AE66" s="66">
        <f t="shared" si="32"/>
        <v>5.5795454416525079</v>
      </c>
      <c r="AF66" s="66">
        <f>AD66/AE66</f>
        <v>2.0006164645545588</v>
      </c>
      <c r="AG66" s="37">
        <f t="shared" si="33"/>
        <v>8831.3148568396664</v>
      </c>
      <c r="AH66" s="38">
        <f t="shared" si="34"/>
        <v>469.19133103613422</v>
      </c>
      <c r="AI66" s="38">
        <f t="shared" si="17"/>
        <v>467.4788722494215</v>
      </c>
      <c r="AJ66" s="38">
        <f t="shared" si="35"/>
        <v>1.7124587867127288</v>
      </c>
      <c r="AK66" s="38">
        <f t="shared" si="36"/>
        <v>8362.1235258035322</v>
      </c>
      <c r="AL66" s="38">
        <f t="shared" si="18"/>
        <v>3924.2078862514063</v>
      </c>
      <c r="AM66" s="38">
        <f t="shared" si="37"/>
        <v>4072.9564653336947</v>
      </c>
      <c r="AN66" s="38">
        <f t="shared" si="38"/>
        <v>-257.49653652432795</v>
      </c>
      <c r="AO66" s="38">
        <f>(AK66+AH66)*Defense!B63</f>
        <v>107.46263769410318</v>
      </c>
      <c r="AP66" s="43">
        <f t="shared" si="45"/>
        <v>767.04</v>
      </c>
      <c r="AQ66" s="44">
        <f t="shared" si="45"/>
        <v>257.73</v>
      </c>
      <c r="AR66" s="44">
        <f>(E66+F66)/100</f>
        <v>509.31</v>
      </c>
      <c r="AS66" s="37">
        <f>Capital!C65</f>
        <v>23995.51697256849</v>
      </c>
      <c r="AT66" s="38">
        <f>Capital!D65</f>
        <v>697.33022950697045</v>
      </c>
      <c r="AU66" s="38">
        <f>Capital!E65</f>
        <v>23298.18674306152</v>
      </c>
      <c r="AV66" s="43">
        <f t="shared" si="42"/>
        <v>767.04</v>
      </c>
      <c r="AW66" s="44">
        <f t="shared" si="43"/>
        <v>257.73</v>
      </c>
      <c r="AX66" s="67">
        <f t="shared" si="44"/>
        <v>509.31</v>
      </c>
      <c r="AZ66" s="37">
        <f t="shared" si="20"/>
        <v>8831.3148568396664</v>
      </c>
      <c r="BA66" s="38">
        <f t="shared" si="21"/>
        <v>469.19133103613422</v>
      </c>
      <c r="BB66" s="38">
        <f t="shared" si="22"/>
        <v>467.4788722494215</v>
      </c>
      <c r="BC66" s="38">
        <f t="shared" si="23"/>
        <v>1.7124587867127288</v>
      </c>
      <c r="BD66" s="38">
        <f t="shared" si="24"/>
        <v>8362.1235258035322</v>
      </c>
      <c r="BE66" s="38">
        <f t="shared" si="27"/>
        <v>3924.2078862514063</v>
      </c>
      <c r="BF66" s="38">
        <f t="shared" si="28"/>
        <v>4072.9564653336947</v>
      </c>
      <c r="BG66" s="38">
        <f t="shared" si="25"/>
        <v>-257.49653652432795</v>
      </c>
      <c r="BH66" s="59">
        <f t="shared" si="26"/>
        <v>107.46263769410318</v>
      </c>
    </row>
    <row r="67" spans="1:60">
      <c r="AS67" s="5">
        <f>Capital!C66</f>
        <v>26868.697589273761</v>
      </c>
    </row>
  </sheetData>
  <mergeCells count="18">
    <mergeCell ref="C3:F3"/>
    <mergeCell ref="G3:J3"/>
    <mergeCell ref="K3:N3"/>
    <mergeCell ref="O3:U3"/>
    <mergeCell ref="V3:X3"/>
    <mergeCell ref="B2:F2"/>
    <mergeCell ref="G2:J2"/>
    <mergeCell ref="K2:N2"/>
    <mergeCell ref="O2:U2"/>
    <mergeCell ref="V2:X2"/>
    <mergeCell ref="AS2:AU2"/>
    <mergeCell ref="AV2:AX2"/>
    <mergeCell ref="AZ2:BH2"/>
    <mergeCell ref="Z2:AA2"/>
    <mergeCell ref="Z3:AA3"/>
    <mergeCell ref="AC2:AF2"/>
    <mergeCell ref="AP2:AR2"/>
    <mergeCell ref="AG2:AO2"/>
  </mergeCells>
  <pageMargins left="0.7" right="0.7" top="0.75" bottom="0.75" header="0.3" footer="0.3"/>
  <pageSetup scale="55" orientation="portrait" r:id="rId1"/>
  <colBreaks count="2" manualBreakCount="2">
    <brk id="14" max="66" man="1"/>
    <brk id="2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2"/>
  <sheetViews>
    <sheetView workbookViewId="0"/>
  </sheetViews>
  <sheetFormatPr defaultRowHeight="15"/>
  <cols>
    <col min="4" max="4" width="12.5703125" customWidth="1"/>
    <col min="5" max="5" width="14.7109375" customWidth="1"/>
    <col min="6" max="6" width="14.28515625" customWidth="1"/>
    <col min="7" max="7" width="13.140625" customWidth="1"/>
    <col min="8" max="8" width="13.85546875" customWidth="1"/>
    <col min="9" max="9" width="12.28515625" customWidth="1"/>
    <col min="10" max="10" width="11" customWidth="1"/>
    <col min="11" max="11" width="11.7109375" customWidth="1"/>
    <col min="17" max="17" width="15.28515625" customWidth="1"/>
  </cols>
  <sheetData>
    <row r="1" spans="1:18">
      <c r="A1" t="s">
        <v>245</v>
      </c>
      <c r="F1">
        <v>2.19</v>
      </c>
    </row>
    <row r="2" spans="1:18">
      <c r="B2" s="129" t="s">
        <v>226</v>
      </c>
      <c r="C2" s="129"/>
      <c r="D2" s="129"/>
      <c r="E2" s="129"/>
      <c r="F2" s="129"/>
      <c r="G2" s="129"/>
      <c r="H2" s="129"/>
      <c r="I2" s="129"/>
      <c r="J2" s="129"/>
      <c r="K2" s="129"/>
    </row>
    <row r="3" spans="1:18" ht="15.75">
      <c r="B3" s="111"/>
      <c r="C3" s="111"/>
      <c r="D3" s="111"/>
      <c r="E3" s="111"/>
      <c r="F3" s="111"/>
      <c r="G3" s="111"/>
      <c r="H3" s="129" t="s">
        <v>227</v>
      </c>
      <c r="I3" s="129"/>
      <c r="J3" s="129" t="s">
        <v>227</v>
      </c>
      <c r="K3" s="129"/>
    </row>
    <row r="4" spans="1:18" ht="15.75">
      <c r="A4" t="s">
        <v>237</v>
      </c>
      <c r="B4" s="111" t="s">
        <v>0</v>
      </c>
      <c r="C4" s="111" t="s">
        <v>228</v>
      </c>
      <c r="D4" s="111" t="s">
        <v>229</v>
      </c>
      <c r="E4" s="111" t="s">
        <v>230</v>
      </c>
      <c r="F4" s="111" t="s">
        <v>231</v>
      </c>
      <c r="G4" s="111" t="s">
        <v>232</v>
      </c>
      <c r="H4" s="111" t="s">
        <v>233</v>
      </c>
      <c r="I4" s="111" t="s">
        <v>232</v>
      </c>
      <c r="J4" s="111" t="s">
        <v>230</v>
      </c>
      <c r="K4" s="111" t="s">
        <v>231</v>
      </c>
      <c r="N4" s="111" t="s">
        <v>235</v>
      </c>
      <c r="P4" t="s">
        <v>0</v>
      </c>
      <c r="Q4" t="s">
        <v>236</v>
      </c>
      <c r="R4" t="s">
        <v>238</v>
      </c>
    </row>
    <row r="5" spans="1:18" ht="15.75">
      <c r="A5">
        <f t="shared" ref="A5:A41" si="0">F5+G5</f>
        <v>179</v>
      </c>
      <c r="B5" s="111">
        <v>1952</v>
      </c>
      <c r="C5" s="111">
        <v>477</v>
      </c>
      <c r="D5" s="111">
        <v>434</v>
      </c>
      <c r="E5" s="111">
        <v>298</v>
      </c>
      <c r="F5" s="111">
        <v>136</v>
      </c>
      <c r="G5" s="111">
        <v>43</v>
      </c>
      <c r="H5" s="111">
        <v>91</v>
      </c>
      <c r="I5" s="111">
        <v>9</v>
      </c>
      <c r="J5" s="111">
        <v>68.7</v>
      </c>
      <c r="K5" s="111">
        <v>31.3</v>
      </c>
      <c r="N5">
        <f>Merge60_CSY!AE6</f>
        <v>1.9662049358934286</v>
      </c>
      <c r="P5">
        <f>B5</f>
        <v>1952</v>
      </c>
      <c r="Q5">
        <f>F5/N5</f>
        <v>69.168781705963241</v>
      </c>
      <c r="R5">
        <f>A5/N5</f>
        <v>91.038322980642789</v>
      </c>
    </row>
    <row r="6" spans="1:18" ht="15.75">
      <c r="A6">
        <f t="shared" si="0"/>
        <v>227</v>
      </c>
      <c r="B6" s="111">
        <v>1953</v>
      </c>
      <c r="C6" s="111">
        <v>559</v>
      </c>
      <c r="D6" s="111">
        <v>508</v>
      </c>
      <c r="E6" s="111">
        <v>332</v>
      </c>
      <c r="F6" s="111">
        <v>176</v>
      </c>
      <c r="G6" s="111">
        <v>51</v>
      </c>
      <c r="H6" s="111">
        <v>90.9</v>
      </c>
      <c r="I6" s="111">
        <v>9.1</v>
      </c>
      <c r="J6" s="111">
        <v>35.4</v>
      </c>
      <c r="K6" s="111">
        <v>34.6</v>
      </c>
      <c r="N6">
        <f>Merge60_CSY!AE7</f>
        <v>1.5883673623754264</v>
      </c>
      <c r="P6">
        <f t="shared" ref="P6:P41" si="1">B6</f>
        <v>1953</v>
      </c>
      <c r="Q6">
        <f t="shared" ref="Q6:Q41" si="2">F6/N6</f>
        <v>110.80560087610303</v>
      </c>
      <c r="R6">
        <f t="shared" ref="R6:R41" si="3">A6/N6</f>
        <v>142.9140420390647</v>
      </c>
    </row>
    <row r="7" spans="1:18" ht="15.75">
      <c r="A7">
        <f t="shared" si="0"/>
        <v>222</v>
      </c>
      <c r="B7" s="111">
        <v>1954</v>
      </c>
      <c r="C7" s="111">
        <v>570</v>
      </c>
      <c r="D7" s="111">
        <v>527</v>
      </c>
      <c r="E7" s="111">
        <v>348</v>
      </c>
      <c r="F7" s="111">
        <v>179</v>
      </c>
      <c r="G7" s="111">
        <v>43</v>
      </c>
      <c r="H7" s="111">
        <v>92.5</v>
      </c>
      <c r="I7" s="111">
        <v>7.5</v>
      </c>
      <c r="J7" s="111">
        <v>66</v>
      </c>
      <c r="K7" s="111">
        <v>34</v>
      </c>
      <c r="N7">
        <f>Merge60_CSY!AE8</f>
        <v>1.5155403662169642</v>
      </c>
      <c r="P7">
        <f t="shared" si="1"/>
        <v>1954</v>
      </c>
      <c r="Q7">
        <f t="shared" si="2"/>
        <v>118.10968812847472</v>
      </c>
      <c r="R7">
        <f t="shared" si="3"/>
        <v>146.48240650570608</v>
      </c>
    </row>
    <row r="8" spans="1:18" ht="15.75">
      <c r="A8">
        <f t="shared" si="0"/>
        <v>233</v>
      </c>
      <c r="B8" s="111">
        <v>1955</v>
      </c>
      <c r="C8" s="111">
        <v>622</v>
      </c>
      <c r="D8" s="111">
        <v>575</v>
      </c>
      <c r="E8" s="111">
        <v>389</v>
      </c>
      <c r="F8" s="111">
        <v>186</v>
      </c>
      <c r="G8" s="111">
        <v>47</v>
      </c>
      <c r="H8" s="111">
        <v>92.4</v>
      </c>
      <c r="I8" s="111">
        <v>7.6</v>
      </c>
      <c r="J8" s="111">
        <v>67.7</v>
      </c>
      <c r="K8" s="111">
        <v>32.299999999999997</v>
      </c>
      <c r="N8">
        <f>Merge60_CSY!AE9</f>
        <v>1.5171494549393423</v>
      </c>
      <c r="P8">
        <f t="shared" si="1"/>
        <v>1955</v>
      </c>
      <c r="Q8">
        <f t="shared" si="2"/>
        <v>122.59833689716254</v>
      </c>
      <c r="R8">
        <f t="shared" si="3"/>
        <v>153.57748654321975</v>
      </c>
    </row>
    <row r="9" spans="1:18" ht="15.75">
      <c r="A9">
        <f t="shared" si="0"/>
        <v>274</v>
      </c>
      <c r="B9" s="111">
        <v>1956</v>
      </c>
      <c r="C9" s="111">
        <v>671</v>
      </c>
      <c r="D9" s="111">
        <v>613</v>
      </c>
      <c r="E9" s="111">
        <v>397</v>
      </c>
      <c r="F9" s="111">
        <v>216</v>
      </c>
      <c r="G9" s="111">
        <v>58</v>
      </c>
      <c r="H9" s="111">
        <v>91.4</v>
      </c>
      <c r="I9" s="111">
        <v>8.6</v>
      </c>
      <c r="J9" s="111">
        <v>64.8</v>
      </c>
      <c r="K9" s="111">
        <v>39.200000000000003</v>
      </c>
      <c r="N9">
        <f>Merge60_CSY!AE10</f>
        <v>1.3252939185622516</v>
      </c>
      <c r="P9">
        <f t="shared" si="1"/>
        <v>1956</v>
      </c>
      <c r="Q9">
        <f t="shared" si="2"/>
        <v>162.9827142301597</v>
      </c>
      <c r="R9">
        <f t="shared" si="3"/>
        <v>206.74659119936925</v>
      </c>
    </row>
    <row r="10" spans="1:18" ht="15.75">
      <c r="A10">
        <f t="shared" si="0"/>
        <v>290</v>
      </c>
      <c r="B10" s="111">
        <v>1957</v>
      </c>
      <c r="C10" s="111">
        <v>702</v>
      </c>
      <c r="D10" s="111">
        <v>649</v>
      </c>
      <c r="E10" s="111">
        <v>412</v>
      </c>
      <c r="F10" s="111">
        <v>237</v>
      </c>
      <c r="G10" s="111">
        <v>53</v>
      </c>
      <c r="H10" s="111">
        <v>92.5</v>
      </c>
      <c r="I10" s="111">
        <v>7.5</v>
      </c>
      <c r="J10" s="111">
        <v>63.5</v>
      </c>
      <c r="K10" s="111">
        <v>36.5</v>
      </c>
      <c r="N10">
        <f>Merge60_CSY!AE11</f>
        <v>1.3386463094559633</v>
      </c>
      <c r="P10">
        <f t="shared" si="1"/>
        <v>1957</v>
      </c>
      <c r="Q10">
        <f t="shared" si="2"/>
        <v>177.04452499952637</v>
      </c>
      <c r="R10">
        <f t="shared" si="3"/>
        <v>216.63676054794365</v>
      </c>
    </row>
    <row r="11" spans="1:18" ht="15.75">
      <c r="A11">
        <f t="shared" si="0"/>
        <v>303</v>
      </c>
      <c r="B11" s="111">
        <v>1958</v>
      </c>
      <c r="C11" s="111">
        <v>738</v>
      </c>
      <c r="D11" s="111">
        <v>683</v>
      </c>
      <c r="E11" s="111">
        <v>435</v>
      </c>
      <c r="F11" s="111">
        <v>248</v>
      </c>
      <c r="G11" s="111">
        <v>55</v>
      </c>
      <c r="H11" s="111">
        <v>92.5</v>
      </c>
      <c r="I11" s="111">
        <v>7.5</v>
      </c>
      <c r="J11" s="111">
        <v>63.7</v>
      </c>
      <c r="K11" s="111">
        <v>36.299999999999997</v>
      </c>
      <c r="N11">
        <f>Merge60_CSY!AE12</f>
        <v>1.1803425518045167</v>
      </c>
      <c r="P11">
        <f t="shared" si="1"/>
        <v>1958</v>
      </c>
      <c r="Q11">
        <f t="shared" si="2"/>
        <v>210.1084974195463</v>
      </c>
      <c r="R11">
        <f t="shared" si="3"/>
        <v>256.70513999242957</v>
      </c>
    </row>
    <row r="12" spans="1:18" ht="15.75">
      <c r="A12">
        <f t="shared" si="0"/>
        <v>377</v>
      </c>
      <c r="B12" s="111">
        <v>1959</v>
      </c>
      <c r="C12" s="111">
        <v>716</v>
      </c>
      <c r="D12" s="111">
        <v>641</v>
      </c>
      <c r="E12" s="111">
        <v>339</v>
      </c>
      <c r="F12" s="111">
        <v>302</v>
      </c>
      <c r="G12" s="111">
        <v>75</v>
      </c>
      <c r="H12" s="111">
        <v>89.5</v>
      </c>
      <c r="I12" s="111">
        <v>10.5</v>
      </c>
      <c r="J12" s="111">
        <v>52.9</v>
      </c>
      <c r="K12" s="111">
        <v>47.1</v>
      </c>
      <c r="N12">
        <f>Merge60_CSY!AE13</f>
        <v>1.0836035306944005</v>
      </c>
      <c r="P12">
        <f t="shared" si="1"/>
        <v>1959</v>
      </c>
      <c r="Q12">
        <f t="shared" si="2"/>
        <v>278.69971945040709</v>
      </c>
      <c r="R12">
        <f t="shared" si="3"/>
        <v>347.91322593643531</v>
      </c>
    </row>
    <row r="13" spans="1:18" ht="15.75">
      <c r="A13">
        <f t="shared" si="0"/>
        <v>417</v>
      </c>
      <c r="B13" s="111">
        <v>1960</v>
      </c>
      <c r="C13" s="111">
        <v>763</v>
      </c>
      <c r="D13" s="111">
        <v>683</v>
      </c>
      <c r="E13" s="111">
        <v>346</v>
      </c>
      <c r="F13" s="111">
        <v>337</v>
      </c>
      <c r="G13" s="111">
        <v>80</v>
      </c>
      <c r="H13" s="111">
        <v>89.5</v>
      </c>
      <c r="I13" s="111">
        <v>10.5</v>
      </c>
      <c r="J13" s="111">
        <v>50.7</v>
      </c>
      <c r="K13" s="111">
        <v>49.3</v>
      </c>
      <c r="N13">
        <f>Merge60_CSY!AE14</f>
        <v>1.0431868745051083</v>
      </c>
      <c r="P13">
        <f t="shared" si="1"/>
        <v>1960</v>
      </c>
      <c r="Q13">
        <f t="shared" si="2"/>
        <v>323.04854310966482</v>
      </c>
      <c r="R13">
        <f t="shared" si="3"/>
        <v>399.73662456003041</v>
      </c>
    </row>
    <row r="14" spans="1:18" ht="15.75">
      <c r="A14">
        <f t="shared" si="0"/>
        <v>400</v>
      </c>
      <c r="B14" s="111">
        <v>1961</v>
      </c>
      <c r="C14" s="111">
        <v>818</v>
      </c>
      <c r="D14" s="111">
        <v>755</v>
      </c>
      <c r="E14" s="111">
        <v>418</v>
      </c>
      <c r="F14" s="111">
        <v>337</v>
      </c>
      <c r="G14" s="111">
        <v>63</v>
      </c>
      <c r="H14" s="111">
        <v>92.3</v>
      </c>
      <c r="I14" s="111">
        <v>7.7</v>
      </c>
      <c r="J14" s="111">
        <v>55.4</v>
      </c>
      <c r="K14" s="111">
        <v>44.6</v>
      </c>
      <c r="N14">
        <f>Merge60_CSY!AE15</f>
        <v>1.2358303341336225</v>
      </c>
      <c r="P14">
        <f t="shared" si="1"/>
        <v>1961</v>
      </c>
      <c r="Q14">
        <f t="shared" si="2"/>
        <v>272.69115402985597</v>
      </c>
      <c r="R14">
        <f t="shared" si="3"/>
        <v>323.66902555472518</v>
      </c>
    </row>
    <row r="15" spans="1:18" ht="15.75">
      <c r="A15">
        <f t="shared" si="0"/>
        <v>389</v>
      </c>
      <c r="B15" s="111">
        <v>1962</v>
      </c>
      <c r="C15" s="111">
        <v>849</v>
      </c>
      <c r="D15" s="111">
        <v>781</v>
      </c>
      <c r="E15" s="111">
        <v>459</v>
      </c>
      <c r="F15" s="111">
        <v>322</v>
      </c>
      <c r="G15" s="111">
        <v>67</v>
      </c>
      <c r="H15" s="111">
        <v>92</v>
      </c>
      <c r="I15" s="111">
        <v>8</v>
      </c>
      <c r="J15" s="111">
        <v>58.8</v>
      </c>
      <c r="K15" s="111">
        <v>41.2</v>
      </c>
      <c r="N15">
        <f>Merge60_CSY!AE16</f>
        <v>1.2863826604558031</v>
      </c>
      <c r="P15">
        <f t="shared" si="1"/>
        <v>1962</v>
      </c>
      <c r="Q15">
        <f t="shared" si="2"/>
        <v>250.31431929120217</v>
      </c>
      <c r="R15">
        <f t="shared" si="3"/>
        <v>302.39835467166972</v>
      </c>
    </row>
    <row r="16" spans="1:18" ht="15.75">
      <c r="A16">
        <f t="shared" si="0"/>
        <v>377</v>
      </c>
      <c r="B16" s="111">
        <v>1963</v>
      </c>
      <c r="C16" s="111">
        <v>864</v>
      </c>
      <c r="D16" s="111">
        <v>793</v>
      </c>
      <c r="E16" s="111">
        <v>487</v>
      </c>
      <c r="F16" s="111">
        <v>306</v>
      </c>
      <c r="G16" s="111">
        <v>71</v>
      </c>
      <c r="H16" s="111">
        <v>91.8</v>
      </c>
      <c r="I16" s="111">
        <v>8.1999999999999993</v>
      </c>
      <c r="J16" s="111">
        <v>61.4</v>
      </c>
      <c r="K16" s="111">
        <v>38.6</v>
      </c>
      <c r="N16">
        <f>Merge60_CSY!AE17</f>
        <v>1.2474455115571408</v>
      </c>
      <c r="P16">
        <f t="shared" si="1"/>
        <v>1963</v>
      </c>
      <c r="Q16">
        <f t="shared" si="2"/>
        <v>245.30129545941557</v>
      </c>
      <c r="R16">
        <f t="shared" si="3"/>
        <v>302.21760911176364</v>
      </c>
    </row>
    <row r="17" spans="1:18" ht="15.75">
      <c r="A17">
        <f t="shared" si="0"/>
        <v>382</v>
      </c>
      <c r="B17" s="111">
        <v>1964</v>
      </c>
      <c r="C17" s="111">
        <v>921</v>
      </c>
      <c r="D17" s="111">
        <v>841</v>
      </c>
      <c r="E17" s="111">
        <v>539</v>
      </c>
      <c r="F17" s="111">
        <v>302</v>
      </c>
      <c r="G17" s="111">
        <v>80</v>
      </c>
      <c r="H17" s="111">
        <v>91.3</v>
      </c>
      <c r="I17" s="111">
        <v>8.6999999999999993</v>
      </c>
      <c r="J17" s="111">
        <v>64.099999999999994</v>
      </c>
      <c r="K17" s="111">
        <v>35.9</v>
      </c>
      <c r="N17">
        <f>Merge60_CSY!AE18</f>
        <v>1.2237282102053033</v>
      </c>
      <c r="P17">
        <f t="shared" si="1"/>
        <v>1964</v>
      </c>
      <c r="Q17">
        <f t="shared" si="2"/>
        <v>246.78682527824856</v>
      </c>
      <c r="R17">
        <f t="shared" si="3"/>
        <v>312.16081872944022</v>
      </c>
    </row>
    <row r="18" spans="1:18" ht="15.75">
      <c r="A18">
        <f t="shared" si="0"/>
        <v>401</v>
      </c>
      <c r="B18" s="111">
        <v>1965</v>
      </c>
      <c r="C18" s="111">
        <v>982</v>
      </c>
      <c r="D18" s="111">
        <v>895</v>
      </c>
      <c r="E18" s="111">
        <v>581</v>
      </c>
      <c r="F18" s="111">
        <v>314</v>
      </c>
      <c r="G18" s="111">
        <v>87</v>
      </c>
      <c r="H18" s="111">
        <v>91.1</v>
      </c>
      <c r="I18" s="111">
        <v>8.9</v>
      </c>
      <c r="J18" s="111">
        <v>64.900000000000006</v>
      </c>
      <c r="K18" s="111">
        <v>35.1</v>
      </c>
      <c r="N18">
        <f>Merge60_CSY!AE19</f>
        <v>1.1740719573833327</v>
      </c>
      <c r="P18">
        <f t="shared" si="1"/>
        <v>1965</v>
      </c>
      <c r="Q18">
        <f t="shared" si="2"/>
        <v>267.44527711897263</v>
      </c>
      <c r="R18">
        <f t="shared" si="3"/>
        <v>341.54635708505737</v>
      </c>
    </row>
    <row r="19" spans="1:18" ht="15.75">
      <c r="A19">
        <f t="shared" si="0"/>
        <v>428</v>
      </c>
      <c r="B19" s="111">
        <v>1966</v>
      </c>
      <c r="C19" s="111">
        <v>1065</v>
      </c>
      <c r="D19" s="111">
        <v>969</v>
      </c>
      <c r="E19" s="111">
        <v>637</v>
      </c>
      <c r="F19" s="111">
        <v>332</v>
      </c>
      <c r="G19" s="111">
        <v>96</v>
      </c>
      <c r="H19" s="111">
        <v>91</v>
      </c>
      <c r="I19" s="111">
        <v>9</v>
      </c>
      <c r="J19" s="111">
        <v>65.7</v>
      </c>
      <c r="K19" s="111">
        <v>34.299999999999997</v>
      </c>
      <c r="N19">
        <f>Merge60_CSY!AE20</f>
        <v>1.1347133360408403</v>
      </c>
      <c r="P19">
        <f t="shared" si="1"/>
        <v>1966</v>
      </c>
      <c r="Q19">
        <f t="shared" si="2"/>
        <v>292.58491061574227</v>
      </c>
      <c r="R19">
        <f t="shared" si="3"/>
        <v>377.18777633595693</v>
      </c>
    </row>
    <row r="20" spans="1:18" ht="15.75">
      <c r="A20">
        <f t="shared" si="0"/>
        <v>445</v>
      </c>
      <c r="B20" s="111">
        <v>1967</v>
      </c>
      <c r="C20" s="111">
        <v>1124</v>
      </c>
      <c r="D20" s="111">
        <v>1026</v>
      </c>
      <c r="E20" s="111">
        <v>679</v>
      </c>
      <c r="F20" s="111">
        <v>347</v>
      </c>
      <c r="G20" s="111">
        <v>98</v>
      </c>
      <c r="H20" s="111">
        <v>91.3</v>
      </c>
      <c r="I20" s="111">
        <v>8.6999999999999993</v>
      </c>
      <c r="J20" s="111">
        <v>66.2</v>
      </c>
      <c r="K20" s="111">
        <v>33.799999999999997</v>
      </c>
      <c r="N20">
        <f>Merge60_CSY!AE21</f>
        <v>1.1689263896635131</v>
      </c>
      <c r="P20">
        <f t="shared" si="1"/>
        <v>1967</v>
      </c>
      <c r="Q20">
        <f t="shared" si="2"/>
        <v>296.85359409148708</v>
      </c>
      <c r="R20">
        <f t="shared" si="3"/>
        <v>380.69120856112897</v>
      </c>
    </row>
    <row r="21" spans="1:18" ht="15.75">
      <c r="A21">
        <f t="shared" si="0"/>
        <v>441</v>
      </c>
      <c r="B21" s="111">
        <v>1968</v>
      </c>
      <c r="C21" s="111">
        <v>1111</v>
      </c>
      <c r="D21" s="111">
        <v>1020</v>
      </c>
      <c r="E21" s="111">
        <v>670</v>
      </c>
      <c r="F21" s="111">
        <v>350</v>
      </c>
      <c r="G21" s="111">
        <v>91</v>
      </c>
      <c r="H21" s="111">
        <v>91.8</v>
      </c>
      <c r="I21" s="111">
        <v>8.1999999999999993</v>
      </c>
      <c r="J21" s="111">
        <v>65.7</v>
      </c>
      <c r="K21" s="111">
        <v>34.299999999999997</v>
      </c>
      <c r="N21">
        <f>Merge60_CSY!AE22</f>
        <v>1.1745632402543131</v>
      </c>
      <c r="P21">
        <f t="shared" si="1"/>
        <v>1968</v>
      </c>
      <c r="Q21">
        <f t="shared" si="2"/>
        <v>297.98310385077178</v>
      </c>
      <c r="R21">
        <f t="shared" si="3"/>
        <v>375.45871085197246</v>
      </c>
    </row>
    <row r="22" spans="1:18" ht="15.75">
      <c r="A22">
        <f t="shared" si="0"/>
        <v>475</v>
      </c>
      <c r="B22" s="111">
        <v>1969</v>
      </c>
      <c r="C22" s="111">
        <v>1180</v>
      </c>
      <c r="D22" s="111">
        <v>1068</v>
      </c>
      <c r="E22" s="111">
        <v>705</v>
      </c>
      <c r="F22" s="111">
        <v>363</v>
      </c>
      <c r="G22" s="111">
        <v>112</v>
      </c>
      <c r="H22" s="111">
        <v>90.5</v>
      </c>
      <c r="I22" s="111">
        <v>9.5</v>
      </c>
      <c r="J22" s="111">
        <v>66</v>
      </c>
      <c r="K22" s="111">
        <v>34</v>
      </c>
      <c r="N22">
        <f>Merge60_CSY!AE23</f>
        <v>1.0718059551913908</v>
      </c>
      <c r="P22">
        <f t="shared" si="1"/>
        <v>1969</v>
      </c>
      <c r="Q22">
        <f t="shared" si="2"/>
        <v>338.68070823993475</v>
      </c>
      <c r="R22">
        <f t="shared" si="3"/>
        <v>443.17723530019009</v>
      </c>
    </row>
    <row r="23" spans="1:18" ht="15.75">
      <c r="A23">
        <f t="shared" si="0"/>
        <v>488</v>
      </c>
      <c r="B23" s="111">
        <v>1970</v>
      </c>
      <c r="C23" s="111">
        <v>1258</v>
      </c>
      <c r="D23" s="111">
        <v>1145</v>
      </c>
      <c r="E23" s="111">
        <v>770</v>
      </c>
      <c r="F23" s="111">
        <v>375</v>
      </c>
      <c r="G23" s="111">
        <v>113</v>
      </c>
      <c r="H23" s="111">
        <v>91</v>
      </c>
      <c r="I23" s="111">
        <v>9</v>
      </c>
      <c r="J23" s="111">
        <v>67.2</v>
      </c>
      <c r="K23" s="111">
        <v>32.799999999999997</v>
      </c>
      <c r="N23">
        <f>Merge60_CSY!AE24</f>
        <v>1.0176737647922289</v>
      </c>
      <c r="P23">
        <f t="shared" si="1"/>
        <v>1970</v>
      </c>
      <c r="Q23">
        <f t="shared" si="2"/>
        <v>368.48743966251408</v>
      </c>
      <c r="R23">
        <f t="shared" si="3"/>
        <v>479.52498814748498</v>
      </c>
    </row>
    <row r="24" spans="1:18" ht="15.75">
      <c r="A24">
        <f t="shared" si="0"/>
        <v>520</v>
      </c>
      <c r="B24" s="111">
        <v>1971</v>
      </c>
      <c r="C24" s="111">
        <v>1324</v>
      </c>
      <c r="D24" s="111">
        <v>1195</v>
      </c>
      <c r="E24" s="111">
        <v>804</v>
      </c>
      <c r="F24" s="111">
        <v>391</v>
      </c>
      <c r="G24" s="111">
        <v>129</v>
      </c>
      <c r="H24" s="111">
        <v>90.3</v>
      </c>
      <c r="I24" s="111">
        <v>9.6999999999999993</v>
      </c>
      <c r="J24" s="111">
        <v>67.3</v>
      </c>
      <c r="K24" s="111">
        <v>32.700000000000003</v>
      </c>
      <c r="N24">
        <f>Merge60_CSY!AE25</f>
        <v>1.0123143254339844</v>
      </c>
      <c r="P24">
        <f t="shared" si="1"/>
        <v>1971</v>
      </c>
      <c r="Q24">
        <f t="shared" si="2"/>
        <v>386.24366975383492</v>
      </c>
      <c r="R24">
        <f t="shared" si="3"/>
        <v>513.67444570842497</v>
      </c>
    </row>
    <row r="25" spans="1:18" ht="15.75">
      <c r="A25">
        <f t="shared" si="0"/>
        <v>580</v>
      </c>
      <c r="B25" s="111">
        <v>1972</v>
      </c>
      <c r="C25" s="111">
        <v>1404</v>
      </c>
      <c r="D25" s="111">
        <v>1263</v>
      </c>
      <c r="E25" s="111">
        <v>824</v>
      </c>
      <c r="F25" s="111">
        <v>439</v>
      </c>
      <c r="G25" s="111">
        <v>141</v>
      </c>
      <c r="H25" s="111">
        <v>90</v>
      </c>
      <c r="I25" s="111">
        <v>10</v>
      </c>
      <c r="J25" s="111">
        <v>65.2</v>
      </c>
      <c r="K25" s="111">
        <v>34.799999999999997</v>
      </c>
      <c r="N25">
        <f>Merge60_CSY!AE26</f>
        <v>1.007176973735519</v>
      </c>
      <c r="P25">
        <f t="shared" si="1"/>
        <v>1972</v>
      </c>
      <c r="Q25">
        <f t="shared" si="2"/>
        <v>435.87175982766246</v>
      </c>
      <c r="R25">
        <f t="shared" si="3"/>
        <v>575.86701753996408</v>
      </c>
    </row>
    <row r="26" spans="1:18" ht="15.75">
      <c r="A26">
        <f t="shared" si="0"/>
        <v>613</v>
      </c>
      <c r="B26" s="111">
        <v>1973</v>
      </c>
      <c r="C26" s="111">
        <v>1511</v>
      </c>
      <c r="D26" s="111">
        <v>1364</v>
      </c>
      <c r="E26" s="111">
        <v>898</v>
      </c>
      <c r="F26" s="111">
        <v>466</v>
      </c>
      <c r="G26" s="111">
        <v>147</v>
      </c>
      <c r="H26" s="111">
        <v>90.3</v>
      </c>
      <c r="I26" s="111">
        <v>9.6999999999999993</v>
      </c>
      <c r="J26" s="111">
        <v>65.8</v>
      </c>
      <c r="K26" s="111">
        <v>34.200000000000003</v>
      </c>
      <c r="N26">
        <f>Merge60_CSY!AE27</f>
        <v>1.0068041291368082</v>
      </c>
      <c r="P26">
        <f t="shared" si="1"/>
        <v>1973</v>
      </c>
      <c r="Q26">
        <f t="shared" si="2"/>
        <v>462.85070403865836</v>
      </c>
      <c r="R26">
        <f t="shared" si="3"/>
        <v>608.85725660020944</v>
      </c>
    </row>
    <row r="27" spans="1:18" ht="15.75">
      <c r="A27">
        <f t="shared" si="0"/>
        <v>635</v>
      </c>
      <c r="B27" s="111">
        <v>1974</v>
      </c>
      <c r="C27" s="111">
        <v>1550</v>
      </c>
      <c r="D27" s="111">
        <v>1396</v>
      </c>
      <c r="E27" s="111">
        <v>915</v>
      </c>
      <c r="F27" s="111">
        <v>481</v>
      </c>
      <c r="G27" s="111">
        <v>154</v>
      </c>
      <c r="H27" s="111">
        <v>90.1</v>
      </c>
      <c r="I27" s="111">
        <v>9.9</v>
      </c>
      <c r="J27" s="111">
        <v>65.5</v>
      </c>
      <c r="K27" s="111">
        <v>34.5</v>
      </c>
      <c r="N27">
        <f>Merge60_CSY!AE28</f>
        <v>1.0110267568222608</v>
      </c>
      <c r="P27">
        <f t="shared" si="1"/>
        <v>1974</v>
      </c>
      <c r="Q27">
        <f t="shared" si="2"/>
        <v>475.75397659288666</v>
      </c>
      <c r="R27">
        <f t="shared" si="3"/>
        <v>628.07437658312483</v>
      </c>
    </row>
    <row r="28" spans="1:18" ht="15.75">
      <c r="A28">
        <f t="shared" si="0"/>
        <v>675</v>
      </c>
      <c r="B28" s="111">
        <v>1975</v>
      </c>
      <c r="C28" s="111">
        <v>1621</v>
      </c>
      <c r="D28" s="111">
        <v>1450</v>
      </c>
      <c r="E28" s="111">
        <v>946</v>
      </c>
      <c r="F28" s="111">
        <v>504</v>
      </c>
      <c r="G28" s="111">
        <v>171</v>
      </c>
      <c r="H28" s="111">
        <v>89.5</v>
      </c>
      <c r="I28" s="111">
        <v>10.5</v>
      </c>
      <c r="J28" s="111">
        <v>65.2</v>
      </c>
      <c r="K28" s="111">
        <v>34.799999999999997</v>
      </c>
      <c r="N28">
        <f>Merge60_CSY!AE29</f>
        <v>0.98898055427852438</v>
      </c>
      <c r="P28">
        <f t="shared" si="1"/>
        <v>1975</v>
      </c>
      <c r="Q28">
        <f t="shared" si="2"/>
        <v>509.61568235047383</v>
      </c>
      <c r="R28">
        <f t="shared" si="3"/>
        <v>682.52100314795598</v>
      </c>
    </row>
    <row r="29" spans="1:18" ht="15.75">
      <c r="A29">
        <f t="shared" si="0"/>
        <v>711</v>
      </c>
      <c r="B29" s="111">
        <v>1976</v>
      </c>
      <c r="C29" s="111">
        <v>1676</v>
      </c>
      <c r="D29" s="111">
        <v>1502</v>
      </c>
      <c r="E29" s="111">
        <v>965</v>
      </c>
      <c r="F29" s="111">
        <v>537</v>
      </c>
      <c r="G29" s="111">
        <v>174</v>
      </c>
      <c r="H29" s="111">
        <v>89.6</v>
      </c>
      <c r="I29" s="111">
        <v>10.4</v>
      </c>
      <c r="J29" s="111">
        <v>64.2</v>
      </c>
      <c r="K29" s="111">
        <v>35.799999999999997</v>
      </c>
      <c r="N29">
        <f>Merge60_CSY!AE30</f>
        <v>0.98103201290005493</v>
      </c>
      <c r="P29">
        <f t="shared" si="1"/>
        <v>1976</v>
      </c>
      <c r="Q29">
        <f t="shared" si="2"/>
        <v>547.38274892025186</v>
      </c>
      <c r="R29">
        <f t="shared" si="3"/>
        <v>724.74699158714907</v>
      </c>
    </row>
    <row r="30" spans="1:18" ht="15.75">
      <c r="A30">
        <f t="shared" si="0"/>
        <v>767</v>
      </c>
      <c r="B30" s="111">
        <v>1977</v>
      </c>
      <c r="C30" s="111">
        <v>1741</v>
      </c>
      <c r="D30" s="111">
        <v>1553</v>
      </c>
      <c r="E30" s="111">
        <v>974</v>
      </c>
      <c r="F30" s="111">
        <v>579</v>
      </c>
      <c r="G30" s="111">
        <v>188</v>
      </c>
      <c r="H30" s="111">
        <v>90</v>
      </c>
      <c r="I30" s="111">
        <v>10</v>
      </c>
      <c r="J30" s="111">
        <v>62.7</v>
      </c>
      <c r="K30" s="111">
        <v>37.299999999999997</v>
      </c>
      <c r="N30">
        <f>Merge60_CSY!AE31</f>
        <v>0.99687478647629535</v>
      </c>
      <c r="P30">
        <f t="shared" si="1"/>
        <v>1977</v>
      </c>
      <c r="Q30">
        <f t="shared" si="2"/>
        <v>580.81517142852124</v>
      </c>
      <c r="R30">
        <f t="shared" si="3"/>
        <v>769.40455351584762</v>
      </c>
    </row>
    <row r="31" spans="1:18" ht="15.75">
      <c r="A31">
        <f t="shared" si="0"/>
        <v>845</v>
      </c>
      <c r="B31" s="111">
        <v>1978</v>
      </c>
      <c r="C31" s="111">
        <v>1888</v>
      </c>
      <c r="D31" s="111">
        <v>1673</v>
      </c>
      <c r="E31" s="111">
        <v>1043</v>
      </c>
      <c r="F31" s="111">
        <v>630</v>
      </c>
      <c r="G31" s="111">
        <v>215</v>
      </c>
      <c r="H31" s="111">
        <v>88.6</v>
      </c>
      <c r="I31" s="111">
        <v>11.4</v>
      </c>
      <c r="J31" s="111">
        <v>62.3</v>
      </c>
      <c r="K31" s="111">
        <v>37.700000000000003</v>
      </c>
      <c r="N31">
        <f>Merge60_CSY!AE32</f>
        <v>1</v>
      </c>
      <c r="P31">
        <f t="shared" si="1"/>
        <v>1978</v>
      </c>
      <c r="Q31">
        <f t="shared" si="2"/>
        <v>630</v>
      </c>
      <c r="R31">
        <f t="shared" si="3"/>
        <v>845</v>
      </c>
    </row>
    <row r="32" spans="1:18" ht="15.75">
      <c r="A32">
        <f t="shared" si="0"/>
        <v>983</v>
      </c>
      <c r="B32" s="111">
        <v>1979</v>
      </c>
      <c r="C32" s="111">
        <v>2195</v>
      </c>
      <c r="D32" s="111">
        <v>1910</v>
      </c>
      <c r="E32" s="111">
        <v>1212</v>
      </c>
      <c r="F32" s="111">
        <v>698</v>
      </c>
      <c r="G32" s="111">
        <v>285</v>
      </c>
      <c r="H32" s="111">
        <v>87</v>
      </c>
      <c r="I32" s="111">
        <v>13</v>
      </c>
      <c r="J32" s="111">
        <v>63.5</v>
      </c>
      <c r="K32" s="111">
        <v>36.5</v>
      </c>
      <c r="N32">
        <f>Merge60_CSY!AE33</f>
        <v>0.9864654154986271</v>
      </c>
      <c r="P32">
        <f t="shared" si="1"/>
        <v>1979</v>
      </c>
      <c r="Q32">
        <f t="shared" si="2"/>
        <v>707.57675741443313</v>
      </c>
      <c r="R32">
        <f t="shared" si="3"/>
        <v>996.48703802061277</v>
      </c>
    </row>
    <row r="33" spans="1:18" ht="15.75">
      <c r="A33">
        <f t="shared" si="0"/>
        <v>1147</v>
      </c>
      <c r="B33" s="111">
        <v>1980</v>
      </c>
      <c r="C33" s="111">
        <v>2531</v>
      </c>
      <c r="D33" s="111">
        <v>2223</v>
      </c>
      <c r="E33" s="111">
        <v>1384</v>
      </c>
      <c r="F33" s="111">
        <v>839</v>
      </c>
      <c r="G33" s="111">
        <v>308</v>
      </c>
      <c r="H33" s="111">
        <v>87.8</v>
      </c>
      <c r="I33" s="111">
        <v>12.2</v>
      </c>
      <c r="J33" s="111">
        <v>62.3</v>
      </c>
      <c r="K33" s="111">
        <v>37.700000000000003</v>
      </c>
      <c r="N33">
        <f>Merge60_CSY!AE34</f>
        <v>1.0062372146910792</v>
      </c>
      <c r="P33">
        <f t="shared" si="1"/>
        <v>1980</v>
      </c>
      <c r="Q33">
        <f t="shared" si="2"/>
        <v>833.79941404530337</v>
      </c>
      <c r="R33">
        <f t="shared" si="3"/>
        <v>1139.89025972582</v>
      </c>
    </row>
    <row r="34" spans="1:18" ht="15.75">
      <c r="A34">
        <f t="shared" si="0"/>
        <v>1227</v>
      </c>
      <c r="B34" s="111">
        <v>1981</v>
      </c>
      <c r="C34" s="111">
        <v>2799</v>
      </c>
      <c r="D34" s="111">
        <v>2473</v>
      </c>
      <c r="E34" s="111">
        <v>1572</v>
      </c>
      <c r="F34" s="111">
        <v>901</v>
      </c>
      <c r="G34" s="111">
        <v>326</v>
      </c>
      <c r="H34" s="111">
        <v>88.4</v>
      </c>
      <c r="I34" s="111">
        <v>11.6</v>
      </c>
      <c r="J34" s="111">
        <v>63.6</v>
      </c>
      <c r="K34" s="111">
        <v>36.4</v>
      </c>
      <c r="N34">
        <f>Merge60_CSY!AE35</f>
        <v>1.0094049585351328</v>
      </c>
      <c r="P34">
        <f t="shared" si="1"/>
        <v>1981</v>
      </c>
      <c r="Q34">
        <f t="shared" si="2"/>
        <v>892.60508617626363</v>
      </c>
      <c r="R34">
        <f t="shared" si="3"/>
        <v>1215.5676367794399</v>
      </c>
    </row>
    <row r="35" spans="1:18" ht="15.75">
      <c r="A35">
        <f t="shared" si="0"/>
        <v>1317</v>
      </c>
      <c r="B35" s="111">
        <v>1982</v>
      </c>
      <c r="C35" s="111">
        <v>3054</v>
      </c>
      <c r="D35" s="111">
        <v>2688</v>
      </c>
      <c r="E35" s="111">
        <v>1737</v>
      </c>
      <c r="F35" s="111">
        <v>951</v>
      </c>
      <c r="G35" s="111">
        <v>366</v>
      </c>
      <c r="H35" s="111">
        <v>88</v>
      </c>
      <c r="I35" s="111">
        <v>12</v>
      </c>
      <c r="J35" s="111">
        <v>64.599999999999994</v>
      </c>
      <c r="K35" s="111">
        <v>35.4</v>
      </c>
      <c r="N35">
        <f>Merge60_CSY!AE36</f>
        <v>0.99281630791360664</v>
      </c>
      <c r="P35">
        <f t="shared" si="1"/>
        <v>1982</v>
      </c>
      <c r="Q35">
        <f t="shared" si="2"/>
        <v>957.88112304331185</v>
      </c>
      <c r="R35">
        <f t="shared" si="3"/>
        <v>1326.5293785994129</v>
      </c>
    </row>
    <row r="36" spans="1:18" ht="15.75">
      <c r="A36">
        <f t="shared" si="0"/>
        <v>1417</v>
      </c>
      <c r="B36" s="111">
        <v>1983</v>
      </c>
      <c r="C36" s="111">
        <v>3358</v>
      </c>
      <c r="D36" s="111">
        <v>2957</v>
      </c>
      <c r="E36" s="111">
        <v>1941</v>
      </c>
      <c r="F36" s="111">
        <v>1016</v>
      </c>
      <c r="G36" s="111">
        <v>401</v>
      </c>
      <c r="H36" s="111">
        <v>88.1</v>
      </c>
      <c r="I36" s="111">
        <v>11.9</v>
      </c>
      <c r="J36" s="111">
        <v>65.599999999999994</v>
      </c>
      <c r="K36" s="111">
        <v>34.4</v>
      </c>
      <c r="N36">
        <f>Merge60_CSY!AE37</f>
        <v>0.9981544383352825</v>
      </c>
      <c r="P36">
        <f t="shared" si="1"/>
        <v>1983</v>
      </c>
      <c r="Q36">
        <f t="shared" si="2"/>
        <v>1017.8785576453282</v>
      </c>
      <c r="R36">
        <f t="shared" si="3"/>
        <v>1419.6199962435335</v>
      </c>
    </row>
    <row r="37" spans="1:18" ht="15.75">
      <c r="A37">
        <f t="shared" si="0"/>
        <v>1673</v>
      </c>
      <c r="B37" s="111">
        <v>1984</v>
      </c>
      <c r="C37" s="111">
        <v>3905</v>
      </c>
      <c r="D37" s="111">
        <v>3395</v>
      </c>
      <c r="E37" s="111">
        <v>2232</v>
      </c>
      <c r="F37" s="111">
        <v>1163</v>
      </c>
      <c r="G37" s="111">
        <v>510</v>
      </c>
      <c r="H37" s="111">
        <v>86.9</v>
      </c>
      <c r="I37" s="111">
        <v>13.1</v>
      </c>
      <c r="J37" s="111">
        <v>65.7</v>
      </c>
      <c r="K37" s="111">
        <v>34.299999999999997</v>
      </c>
      <c r="N37">
        <f>Merge60_CSY!AE38</f>
        <v>1.0567448354697615</v>
      </c>
      <c r="P37">
        <f t="shared" si="1"/>
        <v>1984</v>
      </c>
      <c r="Q37">
        <f t="shared" si="2"/>
        <v>1100.5494997124865</v>
      </c>
      <c r="R37">
        <f t="shared" si="3"/>
        <v>1583.163639741178</v>
      </c>
    </row>
    <row r="38" spans="1:18" ht="15.75">
      <c r="A38">
        <f t="shared" si="0"/>
        <v>2151</v>
      </c>
      <c r="B38" s="111">
        <v>1985</v>
      </c>
      <c r="C38" s="111">
        <v>4879</v>
      </c>
      <c r="D38" s="111">
        <v>4240</v>
      </c>
      <c r="E38" s="111">
        <v>2728</v>
      </c>
      <c r="F38" s="111">
        <v>1512</v>
      </c>
      <c r="G38" s="111">
        <v>639</v>
      </c>
      <c r="H38" s="111">
        <v>86.9</v>
      </c>
      <c r="I38" s="111">
        <v>13.1</v>
      </c>
      <c r="J38" s="111">
        <v>64.3</v>
      </c>
      <c r="K38" s="111">
        <v>35.700000000000003</v>
      </c>
      <c r="N38">
        <f>Merge60_CSY!AE39</f>
        <v>1.1870878824549029</v>
      </c>
      <c r="P38">
        <f t="shared" si="1"/>
        <v>1985</v>
      </c>
      <c r="Q38">
        <f t="shared" si="2"/>
        <v>1273.7051926376146</v>
      </c>
      <c r="R38">
        <f t="shared" si="3"/>
        <v>1811.9972680975586</v>
      </c>
    </row>
    <row r="39" spans="1:18" ht="15.75">
      <c r="A39">
        <f t="shared" si="0"/>
        <v>2554</v>
      </c>
      <c r="B39" s="111">
        <v>1986</v>
      </c>
      <c r="C39" s="111">
        <v>5548</v>
      </c>
      <c r="D39" s="111">
        <v>4773</v>
      </c>
      <c r="E39" s="111">
        <v>2994</v>
      </c>
      <c r="F39" s="111">
        <v>1779</v>
      </c>
      <c r="G39" s="111">
        <v>775</v>
      </c>
      <c r="H39" s="111">
        <v>86</v>
      </c>
      <c r="I39" s="111">
        <v>14</v>
      </c>
      <c r="J39" s="111">
        <v>62.7</v>
      </c>
      <c r="K39" s="111">
        <v>37.700000000000003</v>
      </c>
      <c r="N39">
        <f>Merge60_CSY!AE40</f>
        <v>1.2469409055704803</v>
      </c>
      <c r="P39">
        <f t="shared" si="1"/>
        <v>1986</v>
      </c>
      <c r="Q39">
        <f t="shared" si="2"/>
        <v>1426.691507233938</v>
      </c>
      <c r="R39">
        <f t="shared" si="3"/>
        <v>2048.2125404583908</v>
      </c>
    </row>
    <row r="40" spans="1:18" ht="15.75">
      <c r="A40">
        <f t="shared" si="0"/>
        <v>2959</v>
      </c>
      <c r="B40" s="111">
        <v>1987</v>
      </c>
      <c r="C40" s="111">
        <v>6340</v>
      </c>
      <c r="D40" s="111">
        <v>5477</v>
      </c>
      <c r="E40" s="111">
        <v>3381</v>
      </c>
      <c r="F40" s="111">
        <v>2096</v>
      </c>
      <c r="G40" s="111">
        <v>863</v>
      </c>
      <c r="H40" s="111">
        <v>86.4</v>
      </c>
      <c r="I40" s="111">
        <v>13.6</v>
      </c>
      <c r="J40" s="111">
        <v>61.7</v>
      </c>
      <c r="K40" s="111">
        <v>38.799999999999997</v>
      </c>
      <c r="N40">
        <f>Merge60_CSY!AE41</f>
        <v>1.2954416896763399</v>
      </c>
      <c r="P40">
        <f t="shared" si="1"/>
        <v>1987</v>
      </c>
      <c r="Q40">
        <f t="shared" si="2"/>
        <v>1617.9809687332788</v>
      </c>
      <c r="R40">
        <f t="shared" si="3"/>
        <v>2284.1630183596239</v>
      </c>
    </row>
    <row r="41" spans="1:18" ht="15.75">
      <c r="A41">
        <f t="shared" si="0"/>
        <v>3805</v>
      </c>
      <c r="B41" s="111">
        <v>1988</v>
      </c>
      <c r="C41" s="111">
        <v>7971</v>
      </c>
      <c r="D41" s="111">
        <v>6958</v>
      </c>
      <c r="E41" s="111">
        <v>4166</v>
      </c>
      <c r="F41" s="111">
        <v>2792</v>
      </c>
      <c r="G41" s="111">
        <v>1013</v>
      </c>
      <c r="H41" s="111">
        <v>87.3</v>
      </c>
      <c r="I41" s="111">
        <v>12.7</v>
      </c>
      <c r="J41" s="111">
        <v>59.9</v>
      </c>
      <c r="K41" s="111">
        <v>40.1</v>
      </c>
      <c r="N41">
        <f>Merge60_CSY!AE42</f>
        <v>1.4455747121409952</v>
      </c>
      <c r="P41">
        <f t="shared" si="1"/>
        <v>1988</v>
      </c>
      <c r="Q41">
        <f t="shared" si="2"/>
        <v>1931.4117607002524</v>
      </c>
      <c r="R41">
        <f t="shared" si="3"/>
        <v>2632.1711137050361</v>
      </c>
    </row>
    <row r="42" spans="1:18" ht="15.75">
      <c r="B42" s="111" t="s">
        <v>234</v>
      </c>
    </row>
  </sheetData>
  <mergeCells count="3">
    <mergeCell ref="B2:K2"/>
    <mergeCell ref="H3:I3"/>
    <mergeCell ref="J3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6"/>
  <sheetViews>
    <sheetView zoomScale="115" zoomScaleNormal="115" workbookViewId="0">
      <selection activeCell="G6" sqref="G6"/>
    </sheetView>
  </sheetViews>
  <sheetFormatPr defaultRowHeight="15"/>
  <cols>
    <col min="6" max="6" width="9.7109375" customWidth="1"/>
    <col min="7" max="7" width="10.42578125" customWidth="1"/>
    <col min="10" max="11" width="12.28515625" customWidth="1"/>
    <col min="12" max="13" width="10.7109375" customWidth="1"/>
    <col min="14" max="15" width="12.7109375" customWidth="1"/>
  </cols>
  <sheetData>
    <row r="1" spans="1:15">
      <c r="A1" t="s">
        <v>115</v>
      </c>
      <c r="B1" t="s">
        <v>158</v>
      </c>
      <c r="J1" t="s">
        <v>197</v>
      </c>
      <c r="L1" t="s">
        <v>198</v>
      </c>
    </row>
    <row r="2" spans="1:15">
      <c r="A2" s="10" t="s">
        <v>116</v>
      </c>
      <c r="B2" s="122" t="s">
        <v>138</v>
      </c>
      <c r="C2" s="124"/>
      <c r="D2" s="124"/>
      <c r="E2" s="124"/>
      <c r="F2" s="124"/>
      <c r="G2" s="123"/>
      <c r="J2" s="122" t="s">
        <v>204</v>
      </c>
      <c r="K2" s="123"/>
      <c r="L2" s="124" t="s">
        <v>203</v>
      </c>
      <c r="M2" s="123"/>
      <c r="N2" s="124" t="s">
        <v>204</v>
      </c>
      <c r="O2" s="123"/>
    </row>
    <row r="3" spans="1:15">
      <c r="A3" s="11" t="s">
        <v>117</v>
      </c>
      <c r="B3" s="22" t="s">
        <v>32</v>
      </c>
      <c r="C3" s="4" t="s">
        <v>30</v>
      </c>
      <c r="D3" s="4" t="s">
        <v>31</v>
      </c>
      <c r="E3" s="18" t="s">
        <v>33</v>
      </c>
      <c r="F3" s="31" t="s">
        <v>199</v>
      </c>
      <c r="G3" s="33" t="s">
        <v>200</v>
      </c>
      <c r="J3" s="26"/>
      <c r="K3" s="27"/>
      <c r="L3" s="106"/>
      <c r="M3" s="27"/>
      <c r="N3" s="106"/>
      <c r="O3" s="27"/>
    </row>
    <row r="4" spans="1:15" ht="90">
      <c r="A4" s="47" t="s">
        <v>0</v>
      </c>
      <c r="B4" s="104" t="s">
        <v>136</v>
      </c>
      <c r="C4" s="85" t="s">
        <v>137</v>
      </c>
      <c r="D4" s="85" t="s">
        <v>141</v>
      </c>
      <c r="E4" s="54" t="s">
        <v>139</v>
      </c>
      <c r="F4" s="55" t="s">
        <v>201</v>
      </c>
      <c r="G4" s="56" t="s">
        <v>202</v>
      </c>
      <c r="J4" s="55" t="s">
        <v>201</v>
      </c>
      <c r="K4" s="56" t="s">
        <v>202</v>
      </c>
      <c r="L4" s="60" t="s">
        <v>201</v>
      </c>
      <c r="M4" s="56" t="s">
        <v>202</v>
      </c>
      <c r="N4" s="60" t="s">
        <v>201</v>
      </c>
      <c r="O4" s="56" t="s">
        <v>202</v>
      </c>
    </row>
    <row r="5" spans="1:15">
      <c r="A5" s="26"/>
      <c r="B5" s="31"/>
      <c r="C5" s="32"/>
      <c r="D5" s="32"/>
      <c r="E5" s="33"/>
      <c r="F5" s="26"/>
      <c r="G5" s="27"/>
      <c r="J5" s="17"/>
      <c r="K5" s="28"/>
      <c r="M5" s="28"/>
      <c r="O5" s="28"/>
    </row>
    <row r="6" spans="1:15">
      <c r="A6" s="17">
        <f>'60years'!A8</f>
        <v>1952</v>
      </c>
      <c r="B6" s="63">
        <f>Merge60_CSY!AC6</f>
        <v>0.87804850296424708</v>
      </c>
      <c r="C6" s="6">
        <f>Merge60_CSY!AD6</f>
        <v>0.57287221572160374</v>
      </c>
      <c r="D6" s="6">
        <f>Merge60_CSY!AE6</f>
        <v>1.9662049358934286</v>
      </c>
      <c r="E6" s="81">
        <f>Merge60_CSY!AF6</f>
        <v>0.29135936201955215</v>
      </c>
      <c r="F6" s="63">
        <f t="shared" ref="F6:F25" si="0">J6/J7*F7</f>
        <v>0.5593376264949399</v>
      </c>
      <c r="G6" s="81">
        <f t="shared" ref="G6:G30" si="1">K6/K7*G7</f>
        <v>1.3872549019607849</v>
      </c>
      <c r="J6" s="36">
        <v>121.6</v>
      </c>
      <c r="K6" s="58">
        <v>113.2</v>
      </c>
      <c r="M6" s="28"/>
      <c r="O6" s="28"/>
    </row>
    <row r="7" spans="1:15">
      <c r="A7" s="17">
        <f>'60years'!A9</f>
        <v>1953</v>
      </c>
      <c r="B7" s="63">
        <f>Merge60_CSY!AC7</f>
        <v>0.9218447369465641</v>
      </c>
      <c r="C7" s="6">
        <f>Merge60_CSY!AD7</f>
        <v>0.6198555426236585</v>
      </c>
      <c r="D7" s="6">
        <f>Merge60_CSY!AE7</f>
        <v>1.5883673623754264</v>
      </c>
      <c r="E7" s="81">
        <f>Merge60_CSY!AF7</f>
        <v>0.3902469650954396</v>
      </c>
      <c r="F7" s="63">
        <f t="shared" si="0"/>
        <v>0.60947562097516061</v>
      </c>
      <c r="G7" s="81">
        <f t="shared" si="1"/>
        <v>1.3419117647058827</v>
      </c>
      <c r="J7" s="36">
        <v>132.5</v>
      </c>
      <c r="K7" s="58">
        <v>109.5</v>
      </c>
      <c r="M7" s="28"/>
      <c r="O7" s="28"/>
    </row>
    <row r="8" spans="1:15">
      <c r="A8" s="17">
        <f>'60years'!A10</f>
        <v>1954</v>
      </c>
      <c r="B8" s="63">
        <f>Merge60_CSY!AC8</f>
        <v>0.9223495506448518</v>
      </c>
      <c r="C8" s="6">
        <f>Merge60_CSY!AD8</f>
        <v>0.63215879362314609</v>
      </c>
      <c r="D8" s="6">
        <f>Merge60_CSY!AE8</f>
        <v>1.5155403662169642</v>
      </c>
      <c r="E8" s="81">
        <f>Merge60_CSY!AF8</f>
        <v>0.41711775398046141</v>
      </c>
      <c r="F8" s="63">
        <f t="shared" si="0"/>
        <v>0.62879484820607134</v>
      </c>
      <c r="G8" s="81">
        <f t="shared" si="1"/>
        <v>1.3210784313725492</v>
      </c>
      <c r="J8" s="36">
        <v>136.69999999999999</v>
      </c>
      <c r="K8" s="58">
        <v>107.8</v>
      </c>
      <c r="M8" s="28"/>
      <c r="O8" s="28"/>
    </row>
    <row r="9" spans="1:15">
      <c r="A9" s="17">
        <f>'60years'!A11</f>
        <v>1955</v>
      </c>
      <c r="B9" s="63">
        <f>Merge60_CSY!AC9</f>
        <v>0.91485724755137121</v>
      </c>
      <c r="C9" s="6">
        <f>Merge60_CSY!AD9</f>
        <v>0.62910686728874432</v>
      </c>
      <c r="D9" s="6">
        <f>Merge60_CSY!AE9</f>
        <v>1.5171494549393423</v>
      </c>
      <c r="E9" s="81">
        <f>Merge60_CSY!AF9</f>
        <v>0.41466374010851614</v>
      </c>
      <c r="F9" s="63">
        <f t="shared" si="0"/>
        <v>0.62143514259429589</v>
      </c>
      <c r="G9" s="81">
        <f t="shared" si="1"/>
        <v>1.3039215686274512</v>
      </c>
      <c r="J9" s="36">
        <v>135.1</v>
      </c>
      <c r="K9" s="58">
        <v>106.4</v>
      </c>
      <c r="M9" s="28"/>
      <c r="O9" s="28"/>
    </row>
    <row r="10" spans="1:15">
      <c r="A10" s="17">
        <f>'60years'!A12</f>
        <v>1956</v>
      </c>
      <c r="B10" s="63">
        <f>Merge60_CSY!AC10</f>
        <v>0.8985849326893558</v>
      </c>
      <c r="C10" s="6">
        <f>Merge60_CSY!AD10</f>
        <v>0.63381460537793166</v>
      </c>
      <c r="D10" s="6">
        <f>Merge60_CSY!AE10</f>
        <v>1.3252939185622516</v>
      </c>
      <c r="E10" s="81">
        <f>Merge60_CSY!AF10</f>
        <v>0.47824455881117073</v>
      </c>
      <c r="F10" s="63">
        <f t="shared" si="0"/>
        <v>0.64029438822447071</v>
      </c>
      <c r="G10" s="81">
        <f t="shared" si="1"/>
        <v>1.2071078431372553</v>
      </c>
      <c r="J10" s="36">
        <v>139.19999999999999</v>
      </c>
      <c r="K10" s="58">
        <v>98.5</v>
      </c>
      <c r="M10" s="28"/>
      <c r="O10" s="28"/>
    </row>
    <row r="11" spans="1:15">
      <c r="A11" s="17">
        <f>'60years'!A13</f>
        <v>1957</v>
      </c>
      <c r="B11" s="63">
        <f>Merge60_CSY!AC11</f>
        <v>0.88881188521076404</v>
      </c>
      <c r="C11" s="6">
        <f>Merge60_CSY!AD11</f>
        <v>0.5956527712795332</v>
      </c>
      <c r="D11" s="6">
        <f>Merge60_CSY!AE11</f>
        <v>1.3386463094559633</v>
      </c>
      <c r="E11" s="81">
        <f>Merge60_CSY!AF11</f>
        <v>0.44496650614276995</v>
      </c>
      <c r="F11" s="63">
        <f t="shared" si="0"/>
        <v>0.67249310027598863</v>
      </c>
      <c r="G11" s="81">
        <f t="shared" si="1"/>
        <v>1.2095588235294121</v>
      </c>
      <c r="J11" s="36">
        <v>146.19999999999999</v>
      </c>
      <c r="K11" s="58">
        <v>98.7</v>
      </c>
      <c r="M11" s="28"/>
      <c r="O11" s="28"/>
    </row>
    <row r="12" spans="1:15">
      <c r="A12" s="17">
        <f>'60years'!A14</f>
        <v>1958</v>
      </c>
      <c r="B12" s="63">
        <f>Merge60_CSY!AC12</f>
        <v>0.89679454664637637</v>
      </c>
      <c r="C12" s="6">
        <f>Merge60_CSY!AD12</f>
        <v>0.61496017347475951</v>
      </c>
      <c r="D12" s="6">
        <f>Merge60_CSY!AE12</f>
        <v>1.1803425518045167</v>
      </c>
      <c r="E12" s="81">
        <f>Merge60_CSY!AF12</f>
        <v>0.52100144363566636</v>
      </c>
      <c r="F12" s="63">
        <f t="shared" si="0"/>
        <v>0.68721251149953977</v>
      </c>
      <c r="G12" s="81">
        <f t="shared" si="1"/>
        <v>1.2022058823529416</v>
      </c>
      <c r="J12" s="36">
        <v>149.4</v>
      </c>
      <c r="K12" s="58">
        <v>98.1</v>
      </c>
      <c r="M12" s="28"/>
      <c r="O12" s="28"/>
    </row>
    <row r="13" spans="1:15">
      <c r="A13" s="17">
        <f>'60years'!A15</f>
        <v>1959</v>
      </c>
      <c r="B13" s="63">
        <f>Merge60_CSY!AC13</f>
        <v>0.90737151351343182</v>
      </c>
      <c r="C13" s="6">
        <f>Merge60_CSY!AD13</f>
        <v>0.62911744603399555</v>
      </c>
      <c r="D13" s="6">
        <f>Merge60_CSY!AE13</f>
        <v>1.0836035306944005</v>
      </c>
      <c r="E13" s="81">
        <f>Merge60_CSY!AF13</f>
        <v>0.58057899242063304</v>
      </c>
      <c r="F13" s="63">
        <f t="shared" si="0"/>
        <v>0.69963201471941094</v>
      </c>
      <c r="G13" s="81">
        <f t="shared" si="1"/>
        <v>1.2095588235294121</v>
      </c>
      <c r="J13" s="36">
        <v>152.1</v>
      </c>
      <c r="K13" s="58">
        <v>98.7</v>
      </c>
      <c r="M13" s="28"/>
      <c r="O13" s="28"/>
    </row>
    <row r="14" spans="1:15">
      <c r="A14" s="17">
        <f>'60years'!A16</f>
        <v>1960</v>
      </c>
      <c r="B14" s="63">
        <f>Merge60_CSY!AC14</f>
        <v>0.92109095023311149</v>
      </c>
      <c r="C14" s="6">
        <f>Merge60_CSY!AD14</f>
        <v>0.66784629388448191</v>
      </c>
      <c r="D14" s="6">
        <f>Merge60_CSY!AE14</f>
        <v>1.0431868745051083</v>
      </c>
      <c r="E14" s="81">
        <f>Merge60_CSY!AF14</f>
        <v>0.64019813727172392</v>
      </c>
      <c r="F14" s="63">
        <f t="shared" si="0"/>
        <v>0.72401103955841739</v>
      </c>
      <c r="G14" s="81">
        <f t="shared" si="1"/>
        <v>1.2009803921568631</v>
      </c>
      <c r="J14" s="36">
        <v>157.4</v>
      </c>
      <c r="K14" s="58">
        <v>98</v>
      </c>
      <c r="M14" s="28"/>
      <c r="O14" s="28"/>
    </row>
    <row r="15" spans="1:15">
      <c r="A15" s="17">
        <f>'60years'!A17</f>
        <v>1961</v>
      </c>
      <c r="B15" s="63">
        <f>Merge60_CSY!AC15</f>
        <v>1.0616851311338964</v>
      </c>
      <c r="C15" s="6">
        <f>Merge60_CSY!AD15</f>
        <v>0.85230802893893887</v>
      </c>
      <c r="D15" s="6">
        <f>Merge60_CSY!AE15</f>
        <v>1.2358303341336225</v>
      </c>
      <c r="E15" s="81">
        <f>Merge60_CSY!AF15</f>
        <v>0.68966427299783706</v>
      </c>
      <c r="F15" s="63">
        <f t="shared" si="0"/>
        <v>0.92640294388224431</v>
      </c>
      <c r="G15" s="81">
        <f t="shared" si="1"/>
        <v>1.2610294117647063</v>
      </c>
      <c r="J15" s="36">
        <v>201.4</v>
      </c>
      <c r="K15" s="58">
        <v>102.9</v>
      </c>
      <c r="M15" s="28"/>
      <c r="O15" s="28"/>
    </row>
    <row r="16" spans="1:15">
      <c r="A16" s="17">
        <f>'60years'!A18</f>
        <v>1962</v>
      </c>
      <c r="B16" s="63">
        <f>Merge60_CSY!AC16</f>
        <v>1.0606065141964964</v>
      </c>
      <c r="C16" s="6">
        <f>Merge60_CSY!AD16</f>
        <v>0.83745346209662264</v>
      </c>
      <c r="D16" s="6">
        <f>Merge60_CSY!AE16</f>
        <v>1.2863826604558031</v>
      </c>
      <c r="E16" s="81">
        <f>Merge60_CSY!AF16</f>
        <v>0.65101426491545555</v>
      </c>
      <c r="F16" s="63">
        <f t="shared" si="0"/>
        <v>0.92042318307267657</v>
      </c>
      <c r="G16" s="81">
        <f t="shared" si="1"/>
        <v>1.3100490196078436</v>
      </c>
      <c r="J16" s="36">
        <v>200.1</v>
      </c>
      <c r="K16" s="58">
        <v>106.9</v>
      </c>
      <c r="M16" s="28"/>
      <c r="O16" s="28"/>
    </row>
    <row r="17" spans="1:15">
      <c r="A17" s="17">
        <f>'60years'!A19</f>
        <v>1963</v>
      </c>
      <c r="B17" s="63">
        <f>Merge60_CSY!AC17</f>
        <v>1.0334953662446951</v>
      </c>
      <c r="C17" s="6">
        <f>Merge60_CSY!AD17</f>
        <v>0.82618053003672587</v>
      </c>
      <c r="D17" s="6">
        <f>Merge60_CSY!AE17</f>
        <v>1.2474455115571408</v>
      </c>
      <c r="E17" s="81">
        <f>Merge60_CSY!AF17</f>
        <v>0.66229788987371063</v>
      </c>
      <c r="F17" s="63">
        <f t="shared" si="0"/>
        <v>0.89420423183072628</v>
      </c>
      <c r="G17" s="81">
        <f t="shared" si="1"/>
        <v>1.3026960784313728</v>
      </c>
      <c r="J17" s="36">
        <v>194.4</v>
      </c>
      <c r="K17" s="58">
        <v>106.3</v>
      </c>
      <c r="M17" s="28"/>
      <c r="O17" s="28"/>
    </row>
    <row r="18" spans="1:15">
      <c r="A18" s="17">
        <f>'60years'!A20</f>
        <v>1964</v>
      </c>
      <c r="B18" s="63">
        <f>Merge60_CSY!AC18</f>
        <v>1.0288557103297535</v>
      </c>
      <c r="C18" s="6">
        <f>Merge60_CSY!AD18</f>
        <v>0.8219567019382541</v>
      </c>
      <c r="D18" s="6">
        <f>Merge60_CSY!AE18</f>
        <v>1.2237282102053033</v>
      </c>
      <c r="E18" s="81">
        <f>Merge60_CSY!AF18</f>
        <v>0.67168240062093154</v>
      </c>
      <c r="F18" s="63">
        <f t="shared" si="0"/>
        <v>0.87166513339466378</v>
      </c>
      <c r="G18" s="81">
        <f t="shared" si="1"/>
        <v>1.2769607843137258</v>
      </c>
      <c r="J18" s="36">
        <v>189.5</v>
      </c>
      <c r="K18" s="58">
        <v>104.2</v>
      </c>
      <c r="M18" s="28"/>
      <c r="O18" s="28"/>
    </row>
    <row r="19" spans="1:15">
      <c r="A19" s="17">
        <f>'60years'!A21</f>
        <v>1965</v>
      </c>
      <c r="B19" s="63">
        <f>Merge60_CSY!AC19</f>
        <v>1.0371681380113424</v>
      </c>
      <c r="C19" s="6">
        <f>Merge60_CSY!AD19</f>
        <v>0.87289357602120798</v>
      </c>
      <c r="D19" s="6">
        <f>Merge60_CSY!AE19</f>
        <v>1.1740719573833327</v>
      </c>
      <c r="E19" s="81">
        <f>Merge60_CSY!AF19</f>
        <v>0.74347536412217496</v>
      </c>
      <c r="F19" s="63">
        <f t="shared" si="0"/>
        <v>0.86430542778288832</v>
      </c>
      <c r="G19" s="81">
        <f t="shared" si="1"/>
        <v>1.2169117647058827</v>
      </c>
      <c r="J19" s="36">
        <v>187.9</v>
      </c>
      <c r="K19" s="58">
        <v>99.3</v>
      </c>
      <c r="M19" s="28"/>
      <c r="O19" s="28"/>
    </row>
    <row r="20" spans="1:15">
      <c r="A20" s="17">
        <f>'60years'!A22</f>
        <v>1966</v>
      </c>
      <c r="B20" s="63">
        <f>Merge60_CSY!AC20</f>
        <v>1.0216933875730307</v>
      </c>
      <c r="C20" s="6">
        <f>Merge60_CSY!AD20</f>
        <v>0.87795528975372572</v>
      </c>
      <c r="D20" s="6">
        <f>Merge60_CSY!AE20</f>
        <v>1.1347133360408403</v>
      </c>
      <c r="E20" s="81">
        <f>Merge60_CSY!AF20</f>
        <v>0.77372430716027696</v>
      </c>
      <c r="F20" s="63">
        <f t="shared" si="0"/>
        <v>0.90064397424103004</v>
      </c>
      <c r="G20" s="81">
        <f t="shared" si="1"/>
        <v>1.1654411764705885</v>
      </c>
      <c r="J20" s="36">
        <v>195.8</v>
      </c>
      <c r="K20" s="58">
        <v>95.1</v>
      </c>
      <c r="M20" s="28"/>
      <c r="O20" s="28"/>
    </row>
    <row r="21" spans="1:15">
      <c r="A21" s="17">
        <f>'60years'!A23</f>
        <v>1967</v>
      </c>
      <c r="B21" s="63">
        <f>Merge60_CSY!AC21</f>
        <v>1.0297949498950323</v>
      </c>
      <c r="C21" s="6">
        <f>Merge60_CSY!AD21</f>
        <v>0.87639867191067444</v>
      </c>
      <c r="D21" s="6">
        <f>Merge60_CSY!AE21</f>
        <v>1.1689263896635131</v>
      </c>
      <c r="E21" s="81">
        <f>Merge60_CSY!AF21</f>
        <v>0.74974667323829891</v>
      </c>
      <c r="F21" s="63">
        <f t="shared" si="0"/>
        <v>0.89926402943882211</v>
      </c>
      <c r="G21" s="81">
        <f t="shared" si="1"/>
        <v>1.1507352941176474</v>
      </c>
      <c r="J21" s="36">
        <v>195.5</v>
      </c>
      <c r="K21" s="58">
        <v>93.9</v>
      </c>
      <c r="M21" s="28"/>
      <c r="O21" s="28"/>
    </row>
    <row r="22" spans="1:15">
      <c r="A22" s="17">
        <f>'60years'!A24</f>
        <v>1968</v>
      </c>
      <c r="B22" s="63">
        <f>Merge60_CSY!AC22</f>
        <v>1.0434343337909602</v>
      </c>
      <c r="C22" s="6">
        <f>Merge60_CSY!AD22</f>
        <v>0.90580523114458433</v>
      </c>
      <c r="D22" s="6">
        <f>Merge60_CSY!AE22</f>
        <v>1.1745632402543131</v>
      </c>
      <c r="E22" s="81">
        <f>Merge60_CSY!AF22</f>
        <v>0.77118472645922576</v>
      </c>
      <c r="F22" s="63">
        <f t="shared" si="0"/>
        <v>0.89788408463661418</v>
      </c>
      <c r="G22" s="81">
        <f t="shared" si="1"/>
        <v>1.1262254901960789</v>
      </c>
      <c r="J22" s="36">
        <v>195.2</v>
      </c>
      <c r="K22" s="58">
        <v>91.9</v>
      </c>
      <c r="M22" s="28"/>
      <c r="O22" s="28"/>
    </row>
    <row r="23" spans="1:15">
      <c r="A23" s="17">
        <f>'60years'!A25</f>
        <v>1969</v>
      </c>
      <c r="B23" s="63">
        <f>Merge60_CSY!AC23</f>
        <v>1.0039212355710414</v>
      </c>
      <c r="C23" s="6">
        <f>Merge60_CSY!AD23</f>
        <v>0.91052458758171029</v>
      </c>
      <c r="D23" s="6">
        <f>Merge60_CSY!AE23</f>
        <v>1.0718059551913908</v>
      </c>
      <c r="E23" s="81">
        <f>Merge60_CSY!AF23</f>
        <v>0.84952372504696461</v>
      </c>
      <c r="F23" s="63">
        <f t="shared" si="0"/>
        <v>0.89650413983440647</v>
      </c>
      <c r="G23" s="81">
        <f t="shared" si="1"/>
        <v>1.0882352941176474</v>
      </c>
      <c r="J23" s="36">
        <v>194.9</v>
      </c>
      <c r="K23" s="58">
        <v>88.8</v>
      </c>
      <c r="M23" s="28"/>
      <c r="O23" s="28"/>
    </row>
    <row r="24" spans="1:15">
      <c r="A24" s="17">
        <f>'60years'!A26</f>
        <v>1970</v>
      </c>
      <c r="B24" s="63">
        <f>Merge60_CSY!AC24</f>
        <v>0.97715480686389111</v>
      </c>
      <c r="C24" s="6">
        <f>Merge60_CSY!AD24</f>
        <v>0.91095536530263765</v>
      </c>
      <c r="D24" s="6">
        <f>Merge60_CSY!AE24</f>
        <v>1.0176737647922289</v>
      </c>
      <c r="E24" s="81">
        <f>Merge60_CSY!AF24</f>
        <v>0.89513496055253106</v>
      </c>
      <c r="F24" s="63">
        <f t="shared" si="0"/>
        <v>0.89742410303587838</v>
      </c>
      <c r="G24" s="81">
        <f t="shared" si="1"/>
        <v>1.0404411764705888</v>
      </c>
      <c r="J24" s="36">
        <v>195.1</v>
      </c>
      <c r="K24" s="58">
        <v>84.9</v>
      </c>
      <c r="M24" s="28"/>
      <c r="O24" s="28"/>
    </row>
    <row r="25" spans="1:15">
      <c r="A25" s="17">
        <f>'60years'!A27</f>
        <v>1971</v>
      </c>
      <c r="B25" s="63">
        <f>Merge60_CSY!AC25</f>
        <v>0.98301500967643973</v>
      </c>
      <c r="C25" s="6">
        <f>Merge60_CSY!AD25</f>
        <v>0.93123921478062788</v>
      </c>
      <c r="D25" s="6">
        <f>Merge60_CSY!AE25</f>
        <v>1.0123143254339844</v>
      </c>
      <c r="E25" s="81">
        <f>Merge60_CSY!AF25</f>
        <v>0.91991112975843825</v>
      </c>
      <c r="F25" s="63">
        <f t="shared" si="0"/>
        <v>0.91214351425942952</v>
      </c>
      <c r="G25" s="81">
        <f t="shared" si="1"/>
        <v>1.0343137254901966</v>
      </c>
      <c r="J25" s="36">
        <v>198.3</v>
      </c>
      <c r="K25" s="58">
        <v>84.4</v>
      </c>
      <c r="M25" s="28"/>
      <c r="O25" s="28"/>
    </row>
    <row r="26" spans="1:15">
      <c r="A26" s="17">
        <f>'60years'!A28</f>
        <v>1972</v>
      </c>
      <c r="B26" s="63">
        <f>Merge60_CSY!AC26</f>
        <v>0.98428671795141365</v>
      </c>
      <c r="C26" s="6">
        <f>Merge60_CSY!AD26</f>
        <v>0.94086074653344798</v>
      </c>
      <c r="D26" s="6">
        <f>Merge60_CSY!AE26</f>
        <v>1.007176973735519</v>
      </c>
      <c r="E26" s="81">
        <f>Merge60_CSY!AF26</f>
        <v>0.93415633108041507</v>
      </c>
      <c r="F26" s="63">
        <f t="shared" ref="F26:F31" si="2">J26/J27*F27</f>
        <v>0.92502299908003671</v>
      </c>
      <c r="G26" s="81">
        <f t="shared" si="1"/>
        <v>1.0281862745098043</v>
      </c>
      <c r="J26" s="36">
        <v>201.1</v>
      </c>
      <c r="K26" s="58">
        <v>83.9</v>
      </c>
      <c r="M26" s="28"/>
      <c r="O26" s="28"/>
    </row>
    <row r="27" spans="1:15">
      <c r="A27" s="17">
        <f>'60years'!A29</f>
        <v>1973</v>
      </c>
      <c r="B27" s="63">
        <f>Merge60_CSY!AC27</f>
        <v>0.9858476101770538</v>
      </c>
      <c r="C27" s="6">
        <f>Merge60_CSY!AD27</f>
        <v>0.94672750516597026</v>
      </c>
      <c r="D27" s="6">
        <f>Merge60_CSY!AE27</f>
        <v>1.0068041291368082</v>
      </c>
      <c r="E27" s="81">
        <f>Merge60_CSY!AF27</f>
        <v>0.94032938261551913</v>
      </c>
      <c r="F27" s="63">
        <f t="shared" si="2"/>
        <v>0.9328426862925483</v>
      </c>
      <c r="G27" s="81">
        <f t="shared" si="1"/>
        <v>1.0232843137254903</v>
      </c>
      <c r="J27" s="36">
        <v>202.8</v>
      </c>
      <c r="K27" s="58">
        <v>83.5</v>
      </c>
      <c r="M27" s="28"/>
      <c r="O27" s="28"/>
    </row>
    <row r="28" spans="1:15">
      <c r="A28" s="17">
        <f>'60years'!A30</f>
        <v>1974</v>
      </c>
      <c r="B28" s="63">
        <f>Merge60_CSY!AC28</f>
        <v>0.98841800492162013</v>
      </c>
      <c r="C28" s="6">
        <f>Merge60_CSY!AD28</f>
        <v>0.94732226331279146</v>
      </c>
      <c r="D28" s="6">
        <f>Merge60_CSY!AE28</f>
        <v>1.0110267568222608</v>
      </c>
      <c r="E28" s="81">
        <f>Merge60_CSY!AF28</f>
        <v>0.93699029913936427</v>
      </c>
      <c r="F28" s="63">
        <f t="shared" si="2"/>
        <v>0.94066237350505977</v>
      </c>
      <c r="G28" s="81">
        <f t="shared" si="1"/>
        <v>1.0134803921568629</v>
      </c>
      <c r="J28" s="36">
        <v>204.5</v>
      </c>
      <c r="K28" s="58">
        <v>82.7</v>
      </c>
      <c r="M28" s="28"/>
      <c r="O28" s="28"/>
    </row>
    <row r="29" spans="1:15">
      <c r="A29" s="17">
        <f>'60years'!A31</f>
        <v>1975</v>
      </c>
      <c r="B29" s="63">
        <f>Merge60_CSY!AC29</f>
        <v>0.97728062358513679</v>
      </c>
      <c r="C29" s="6">
        <f>Merge60_CSY!AD29</f>
        <v>0.95386308932783359</v>
      </c>
      <c r="D29" s="6">
        <f>Merge60_CSY!AE29</f>
        <v>0.98898055427852438</v>
      </c>
      <c r="E29" s="81">
        <f>Merge60_CSY!AF29</f>
        <v>0.96449124828717236</v>
      </c>
      <c r="F29" s="63">
        <f t="shared" si="2"/>
        <v>0.9599816007359705</v>
      </c>
      <c r="G29" s="81">
        <f t="shared" si="1"/>
        <v>1.0098039215686276</v>
      </c>
      <c r="J29" s="36">
        <v>208.7</v>
      </c>
      <c r="K29" s="58">
        <v>82.4</v>
      </c>
      <c r="M29" s="28"/>
      <c r="O29" s="28"/>
    </row>
    <row r="30" spans="1:15">
      <c r="A30" s="17">
        <f>'60years'!A32</f>
        <v>1976</v>
      </c>
      <c r="B30" s="63">
        <f>Merge60_CSY!AC30</f>
        <v>0.97634311731877421</v>
      </c>
      <c r="C30" s="6">
        <f>Merge60_CSY!AD30</f>
        <v>0.9669368718230299</v>
      </c>
      <c r="D30" s="6">
        <f>Merge60_CSY!AE30</f>
        <v>0.98103201290005493</v>
      </c>
      <c r="E30" s="81">
        <f>Merge60_CSY!AF30</f>
        <v>0.98563233320454247</v>
      </c>
      <c r="F30" s="63">
        <f t="shared" si="2"/>
        <v>0.9645814167433302</v>
      </c>
      <c r="G30" s="81">
        <f t="shared" si="1"/>
        <v>1.0073529411764706</v>
      </c>
      <c r="J30" s="36">
        <v>209.7</v>
      </c>
      <c r="K30" s="58">
        <v>82.2</v>
      </c>
      <c r="M30" s="28"/>
      <c r="O30" s="28"/>
    </row>
    <row r="31" spans="1:15">
      <c r="A31" s="17">
        <f>'60years'!A33</f>
        <v>1977</v>
      </c>
      <c r="B31" s="63">
        <f>Merge60_CSY!AC31</f>
        <v>0.9867575596968029</v>
      </c>
      <c r="C31" s="6">
        <f>Merge60_CSY!AD31</f>
        <v>0.9634027924584414</v>
      </c>
      <c r="D31" s="6">
        <f>Merge60_CSY!AE31</f>
        <v>0.99687478647629535</v>
      </c>
      <c r="E31" s="81">
        <f>Merge60_CSY!AF31</f>
        <v>0.96642307090926727</v>
      </c>
      <c r="F31" s="63">
        <f t="shared" si="2"/>
        <v>0.96228150873965035</v>
      </c>
      <c r="G31" s="81">
        <f>K31/K32*G32</f>
        <v>0.99754901960784326</v>
      </c>
      <c r="J31" s="36">
        <v>209.2</v>
      </c>
      <c r="K31" s="58">
        <v>81.400000000000006</v>
      </c>
      <c r="M31" s="28"/>
      <c r="O31" s="28"/>
    </row>
    <row r="32" spans="1:15">
      <c r="A32" s="17">
        <f>'60years'!A34</f>
        <v>1978</v>
      </c>
      <c r="B32" s="63">
        <f>Merge60_CSY!AC32</f>
        <v>1</v>
      </c>
      <c r="C32" s="6">
        <f>Merge60_CSY!AD32</f>
        <v>1</v>
      </c>
      <c r="D32" s="6">
        <f>Merge60_CSY!AE32</f>
        <v>1</v>
      </c>
      <c r="E32" s="81">
        <f>Merge60_CSY!AF32</f>
        <v>1</v>
      </c>
      <c r="F32" s="63">
        <f>1</f>
        <v>1</v>
      </c>
      <c r="G32" s="81">
        <f>1</f>
        <v>1</v>
      </c>
      <c r="J32" s="36">
        <v>217.4</v>
      </c>
      <c r="K32" s="58">
        <v>81.599999999999994</v>
      </c>
      <c r="L32" s="5">
        <v>103.9</v>
      </c>
      <c r="M32" s="58">
        <v>100.2</v>
      </c>
      <c r="N32" s="5">
        <v>100</v>
      </c>
      <c r="O32" s="58"/>
    </row>
    <row r="33" spans="1:15">
      <c r="A33" s="17">
        <f>'60years'!A35</f>
        <v>1979</v>
      </c>
      <c r="B33" s="63">
        <f>Merge60_CSY!AC33</f>
        <v>1.0360380501111117</v>
      </c>
      <c r="C33" s="6">
        <f>Merge60_CSY!AD33</f>
        <v>1.1647101558843935</v>
      </c>
      <c r="D33" s="6">
        <f>Merge60_CSY!AE33</f>
        <v>0.9864654154986271</v>
      </c>
      <c r="E33" s="81">
        <f>Merge60_CSY!AF33</f>
        <v>1.1806903086365874</v>
      </c>
      <c r="F33" s="63">
        <f>F32*L33/100</f>
        <v>1.2209999999999999</v>
      </c>
      <c r="G33" s="81">
        <f>G32*M33/100</f>
        <v>1.016</v>
      </c>
      <c r="J33" s="36">
        <v>265.5</v>
      </c>
      <c r="K33" s="58">
        <v>82.9</v>
      </c>
      <c r="L33" s="5">
        <v>122.1</v>
      </c>
      <c r="M33" s="58">
        <v>101.6</v>
      </c>
      <c r="N33" s="5">
        <f t="shared" ref="N33:N66" si="3">N32*L33/100</f>
        <v>122.1</v>
      </c>
      <c r="O33" s="58"/>
    </row>
    <row r="34" spans="1:15">
      <c r="A34" s="17">
        <f>'60years'!A36</f>
        <v>1980</v>
      </c>
      <c r="B34" s="63">
        <f>Merge60_CSY!AC34</f>
        <v>1.0749337198435396</v>
      </c>
      <c r="C34" s="6">
        <f>Merge60_CSY!AD34</f>
        <v>1.2766229736595487</v>
      </c>
      <c r="D34" s="6">
        <f>Merge60_CSY!AE34</f>
        <v>1.0062372146910792</v>
      </c>
      <c r="E34" s="81">
        <f>Merge60_CSY!AF34</f>
        <v>1.2687097585150233</v>
      </c>
      <c r="F34" s="63">
        <f t="shared" ref="F34:F66" si="4">F33*L34/100</f>
        <v>1.3076909999999997</v>
      </c>
      <c r="G34" s="81">
        <f t="shared" ref="G34:G66" si="5">G33*M34/100</f>
        <v>1.02108</v>
      </c>
      <c r="J34" s="36">
        <v>284.39999999999998</v>
      </c>
      <c r="K34" s="58">
        <v>83.4</v>
      </c>
      <c r="L34" s="5">
        <v>107.1</v>
      </c>
      <c r="M34" s="58">
        <v>100.5</v>
      </c>
      <c r="N34" s="5">
        <f t="shared" si="3"/>
        <v>130.76909999999998</v>
      </c>
      <c r="O34" s="58"/>
    </row>
    <row r="35" spans="1:15">
      <c r="A35" s="17">
        <f>'60years'!A37</f>
        <v>1981</v>
      </c>
      <c r="B35" s="63">
        <f>Merge60_CSY!AC35</f>
        <v>1.0991120966828543</v>
      </c>
      <c r="C35" s="6">
        <f>Merge60_CSY!AD35</f>
        <v>1.3567457768042421</v>
      </c>
      <c r="D35" s="6">
        <f>Merge60_CSY!AE35</f>
        <v>1.0094049585351328</v>
      </c>
      <c r="E35" s="81">
        <f>Merge60_CSY!AF35</f>
        <v>1.3441045294379936</v>
      </c>
      <c r="F35" s="63">
        <f t="shared" si="4"/>
        <v>1.3848447689999999</v>
      </c>
      <c r="G35" s="81">
        <f t="shared" si="5"/>
        <v>1.02312216</v>
      </c>
      <c r="J35" s="36">
        <v>301.2</v>
      </c>
      <c r="K35" s="58">
        <v>83.6</v>
      </c>
      <c r="L35" s="5">
        <v>105.9</v>
      </c>
      <c r="M35" s="58">
        <v>100.2</v>
      </c>
      <c r="N35" s="5">
        <f t="shared" si="3"/>
        <v>138.4844769</v>
      </c>
      <c r="O35" s="58"/>
    </row>
    <row r="36" spans="1:15">
      <c r="A36" s="17">
        <f>'60years'!A38</f>
        <v>1982</v>
      </c>
      <c r="B36" s="63">
        <f>Merge60_CSY!AC36</f>
        <v>1.096797815124134</v>
      </c>
      <c r="C36" s="6">
        <f>Merge60_CSY!AD36</f>
        <v>1.3865022013898085</v>
      </c>
      <c r="D36" s="6">
        <f>Merge60_CSY!AE36</f>
        <v>0.99281630791360664</v>
      </c>
      <c r="E36" s="81">
        <f>Merge60_CSY!AF36</f>
        <v>1.396534475046576</v>
      </c>
      <c r="F36" s="63">
        <f t="shared" si="4"/>
        <v>1.4153113539179998</v>
      </c>
      <c r="G36" s="81">
        <f t="shared" si="5"/>
        <v>1.02107591568</v>
      </c>
      <c r="J36" s="17"/>
      <c r="K36" s="28"/>
      <c r="L36" s="5">
        <v>102.2</v>
      </c>
      <c r="M36" s="58">
        <v>99.8</v>
      </c>
      <c r="N36" s="5">
        <f t="shared" si="3"/>
        <v>141.53113539180001</v>
      </c>
      <c r="O36" s="58"/>
    </row>
    <row r="37" spans="1:15">
      <c r="A37" s="17">
        <f>'60years'!A39</f>
        <v>1983</v>
      </c>
      <c r="B37" s="63">
        <f>Merge60_CSY!AC37</f>
        <v>1.1082392791870088</v>
      </c>
      <c r="C37" s="6">
        <f>Merge60_CSY!AD37</f>
        <v>1.4246720631939516</v>
      </c>
      <c r="D37" s="6">
        <f>Merge60_CSY!AE37</f>
        <v>0.9981544383352825</v>
      </c>
      <c r="E37" s="81">
        <f>Merge60_CSY!AF37</f>
        <v>1.42730624488332</v>
      </c>
      <c r="F37" s="63">
        <f t="shared" si="4"/>
        <v>1.4775850534903918</v>
      </c>
      <c r="G37" s="81">
        <f t="shared" si="5"/>
        <v>1.0200548397643201</v>
      </c>
      <c r="J37" s="17"/>
      <c r="K37" s="28"/>
      <c r="L37" s="5">
        <v>104.4</v>
      </c>
      <c r="M37" s="58">
        <v>99.9</v>
      </c>
      <c r="N37" s="5">
        <f t="shared" si="3"/>
        <v>147.75850534903921</v>
      </c>
      <c r="O37" s="58"/>
    </row>
    <row r="38" spans="1:15">
      <c r="A38" s="17">
        <f>'60years'!A40</f>
        <v>1984</v>
      </c>
      <c r="B38" s="63">
        <f>Merge60_CSY!AC38</f>
        <v>1.1631880436650859</v>
      </c>
      <c r="C38" s="6">
        <f>Merge60_CSY!AD38</f>
        <v>1.4775387669117621</v>
      </c>
      <c r="D38" s="6">
        <f>Merge60_CSY!AE38</f>
        <v>1.0567448354697615</v>
      </c>
      <c r="E38" s="81">
        <f>Merge60_CSY!AF38</f>
        <v>1.3981982379454378</v>
      </c>
      <c r="F38" s="63">
        <f t="shared" si="4"/>
        <v>1.5366884556300076</v>
      </c>
      <c r="G38" s="81">
        <f t="shared" si="5"/>
        <v>1.0343356075210206</v>
      </c>
      <c r="J38" s="17"/>
      <c r="K38" s="28"/>
      <c r="L38" s="5">
        <v>104</v>
      </c>
      <c r="M38" s="58">
        <v>101.4</v>
      </c>
      <c r="N38" s="5">
        <f t="shared" si="3"/>
        <v>153.66884556300079</v>
      </c>
      <c r="O38" s="58"/>
    </row>
    <row r="39" spans="1:15">
      <c r="A39" s="17">
        <f>'60years'!A41</f>
        <v>1985</v>
      </c>
      <c r="B39" s="63">
        <f>Merge60_CSY!AC39</f>
        <v>1.2822751275609494</v>
      </c>
      <c r="C39" s="6">
        <f>Merge60_CSY!AD39</f>
        <v>1.6063271620039132</v>
      </c>
      <c r="D39" s="6">
        <f>Merge60_CSY!AE39</f>
        <v>1.1870878824549029</v>
      </c>
      <c r="E39" s="81">
        <f>Merge60_CSY!AF39</f>
        <v>1.3531661688619225</v>
      </c>
      <c r="F39" s="63">
        <f t="shared" si="4"/>
        <v>1.6688436628141881</v>
      </c>
      <c r="G39" s="81">
        <f t="shared" si="5"/>
        <v>1.1243228053753493</v>
      </c>
      <c r="J39" s="17"/>
      <c r="K39" s="28"/>
      <c r="L39" s="5">
        <v>108.6</v>
      </c>
      <c r="M39" s="58">
        <v>108.7</v>
      </c>
      <c r="N39" s="5">
        <f t="shared" si="3"/>
        <v>166.88436628141883</v>
      </c>
      <c r="O39" s="58">
        <v>100</v>
      </c>
    </row>
    <row r="40" spans="1:15">
      <c r="A40" s="17">
        <f>'60years'!A42</f>
        <v>1986</v>
      </c>
      <c r="B40" s="63">
        <f>Merge60_CSY!AC40</f>
        <v>1.3425825000656932</v>
      </c>
      <c r="C40" s="6">
        <f>Merge60_CSY!AD40</f>
        <v>1.6907196065822749</v>
      </c>
      <c r="D40" s="6">
        <f>Merge60_CSY!AE40</f>
        <v>1.2469409055704803</v>
      </c>
      <c r="E40" s="81">
        <f>Merge60_CSY!AF40</f>
        <v>1.3558939313236855</v>
      </c>
      <c r="F40" s="63">
        <f t="shared" si="4"/>
        <v>1.7756496572342961</v>
      </c>
      <c r="G40" s="81">
        <f t="shared" si="5"/>
        <v>1.1670470719796127</v>
      </c>
      <c r="J40" s="17"/>
      <c r="K40" s="28"/>
      <c r="L40" s="5">
        <v>106.4</v>
      </c>
      <c r="M40" s="58">
        <v>103.8</v>
      </c>
      <c r="N40" s="5">
        <f t="shared" si="3"/>
        <v>177.56496572342962</v>
      </c>
      <c r="O40" s="58">
        <f t="shared" ref="O40:O57" si="6">O39*M40/100</f>
        <v>103.8</v>
      </c>
    </row>
    <row r="41" spans="1:15">
      <c r="A41" s="17">
        <f>'60years'!A43</f>
        <v>1987</v>
      </c>
      <c r="B41" s="63">
        <f>Merge60_CSY!AC41</f>
        <v>1.4120495942994664</v>
      </c>
      <c r="C41" s="6">
        <f>Merge60_CSY!AD41</f>
        <v>1.8720515581706638</v>
      </c>
      <c r="D41" s="6">
        <f>Merge60_CSY!AE41</f>
        <v>1.2954416896763399</v>
      </c>
      <c r="E41" s="81">
        <f>Merge60_CSY!AF41</f>
        <v>1.4451067717593582</v>
      </c>
      <c r="F41" s="63">
        <f t="shared" si="4"/>
        <v>1.9887276161024117</v>
      </c>
      <c r="G41" s="81">
        <f t="shared" si="5"/>
        <v>1.2592437906660021</v>
      </c>
      <c r="J41" s="17"/>
      <c r="K41" s="28"/>
      <c r="L41" s="5">
        <v>112</v>
      </c>
      <c r="M41" s="58">
        <v>107.9</v>
      </c>
      <c r="N41" s="5">
        <f t="shared" si="3"/>
        <v>198.87276161024118</v>
      </c>
      <c r="O41" s="58">
        <f t="shared" si="6"/>
        <v>112.00020000000001</v>
      </c>
    </row>
    <row r="42" spans="1:15">
      <c r="A42" s="17">
        <f>'60years'!A44</f>
        <v>1988</v>
      </c>
      <c r="B42" s="63">
        <f>Merge60_CSY!AC42</f>
        <v>1.5829327602147256</v>
      </c>
      <c r="C42" s="6">
        <f>Merge60_CSY!AD42</f>
        <v>2.1826578064895488</v>
      </c>
      <c r="D42" s="6">
        <f>Merge60_CSY!AE42</f>
        <v>1.4455747121409952</v>
      </c>
      <c r="E42" s="81">
        <f>Merge60_CSY!AF42</f>
        <v>1.5098893112600753</v>
      </c>
      <c r="F42" s="63">
        <f t="shared" si="4"/>
        <v>2.4461349678059663</v>
      </c>
      <c r="G42" s="81">
        <f t="shared" si="5"/>
        <v>1.4481303592659023</v>
      </c>
      <c r="J42" s="17"/>
      <c r="K42" s="28"/>
      <c r="L42" s="5">
        <v>123</v>
      </c>
      <c r="M42" s="58">
        <v>115</v>
      </c>
      <c r="N42" s="5">
        <f t="shared" si="3"/>
        <v>244.61349678059665</v>
      </c>
      <c r="O42" s="58">
        <f t="shared" si="6"/>
        <v>128.80023</v>
      </c>
    </row>
    <row r="43" spans="1:15">
      <c r="A43" s="17">
        <f>'60years'!A45</f>
        <v>1989</v>
      </c>
      <c r="B43" s="63">
        <f>Merge60_CSY!AC43</f>
        <v>1.7182588398491869</v>
      </c>
      <c r="C43" s="6">
        <f>Merge60_CSY!AD43</f>
        <v>2.3369816539933477</v>
      </c>
      <c r="D43" s="6">
        <f>Merge60_CSY!AE43</f>
        <v>1.5782000220794694</v>
      </c>
      <c r="E43" s="81">
        <f>Merge60_CSY!AF43</f>
        <v>1.4807892670753431</v>
      </c>
      <c r="F43" s="63">
        <f t="shared" si="4"/>
        <v>2.8130552129768613</v>
      </c>
      <c r="G43" s="81">
        <f t="shared" si="5"/>
        <v>1.71748260608936</v>
      </c>
      <c r="J43" s="17"/>
      <c r="K43" s="28"/>
      <c r="L43" s="5">
        <v>115</v>
      </c>
      <c r="M43" s="58">
        <v>118.6</v>
      </c>
      <c r="N43" s="5">
        <f t="shared" si="3"/>
        <v>281.30552129768614</v>
      </c>
      <c r="O43" s="58">
        <f t="shared" si="6"/>
        <v>152.75707277999999</v>
      </c>
    </row>
    <row r="44" spans="1:15">
      <c r="A44" s="17">
        <f>'CSY2013'!A17</f>
        <v>1990</v>
      </c>
      <c r="B44" s="63">
        <f>Merge60_CSY!AC44</f>
        <v>1.8178958160804171</v>
      </c>
      <c r="C44" s="6">
        <f>Merge60_CSY!AD44</f>
        <v>2.5837577827330396</v>
      </c>
      <c r="D44" s="6">
        <f>Merge60_CSY!AE44</f>
        <v>1.6373312234301813</v>
      </c>
      <c r="E44" s="81">
        <f>Merge60_CSY!AF44</f>
        <v>1.5780299952505092</v>
      </c>
      <c r="F44" s="63">
        <f t="shared" si="4"/>
        <v>2.7399157774394634</v>
      </c>
      <c r="G44" s="81">
        <f t="shared" si="5"/>
        <v>1.7878993929390237</v>
      </c>
      <c r="J44" s="17"/>
      <c r="K44" s="28"/>
      <c r="L44" s="5">
        <v>97.4</v>
      </c>
      <c r="M44" s="58">
        <v>104.1</v>
      </c>
      <c r="N44" s="5">
        <f t="shared" si="3"/>
        <v>273.99157774394632</v>
      </c>
      <c r="O44" s="58">
        <f t="shared" si="6"/>
        <v>159.02011276397997</v>
      </c>
    </row>
    <row r="45" spans="1:15">
      <c r="A45" s="17">
        <f>'CSY2013'!A18</f>
        <v>1991</v>
      </c>
      <c r="B45" s="63">
        <f>Merge60_CSY!AC45</f>
        <v>1.9427827671310838</v>
      </c>
      <c r="C45" s="6">
        <f>Merge60_CSY!AD45</f>
        <v>2.6628734012658808</v>
      </c>
      <c r="D45" s="6">
        <f>Merge60_CSY!AE45</f>
        <v>1.785848397027499</v>
      </c>
      <c r="E45" s="81">
        <f>Merge60_CSY!AF45</f>
        <v>1.4910971198328864</v>
      </c>
      <c r="F45" s="63">
        <f t="shared" si="4"/>
        <v>2.6851174618906741</v>
      </c>
      <c r="G45" s="81">
        <f t="shared" si="5"/>
        <v>1.8987491553012432</v>
      </c>
      <c r="J45" s="17"/>
      <c r="K45" s="28"/>
      <c r="L45" s="5">
        <v>98</v>
      </c>
      <c r="M45" s="58">
        <v>106.2</v>
      </c>
      <c r="N45" s="5">
        <f t="shared" si="3"/>
        <v>268.51174618906737</v>
      </c>
      <c r="O45" s="58">
        <f t="shared" si="6"/>
        <v>168.87935975534674</v>
      </c>
    </row>
    <row r="46" spans="1:15">
      <c r="A46" s="17">
        <f>'CSY2013'!A19</f>
        <v>1992</v>
      </c>
      <c r="B46" s="63">
        <f>Merge60_CSY!AC46</f>
        <v>2.1020678349859789</v>
      </c>
      <c r="C46" s="6">
        <f>Merge60_CSY!AD46</f>
        <v>2.792973181696321</v>
      </c>
      <c r="D46" s="6">
        <f>Merge60_CSY!AE46</f>
        <v>1.9665345695106218</v>
      </c>
      <c r="E46" s="81">
        <f>Merge60_CSY!AF46</f>
        <v>1.4202512506003702</v>
      </c>
      <c r="F46" s="63">
        <f t="shared" si="4"/>
        <v>2.7764114555949573</v>
      </c>
      <c r="G46" s="81">
        <f t="shared" si="5"/>
        <v>2.0278640978617277</v>
      </c>
      <c r="J46" s="17"/>
      <c r="K46" s="28"/>
      <c r="L46" s="5">
        <v>103.4</v>
      </c>
      <c r="M46" s="58">
        <v>106.8</v>
      </c>
      <c r="N46" s="5">
        <f t="shared" si="3"/>
        <v>277.64114555949567</v>
      </c>
      <c r="O46" s="58">
        <f t="shared" si="6"/>
        <v>180.36315621871032</v>
      </c>
    </row>
    <row r="47" spans="1:15">
      <c r="A47" s="17">
        <f>'CSY2013'!A20</f>
        <v>1993</v>
      </c>
      <c r="B47" s="63">
        <f>Merge60_CSY!AC47</f>
        <v>2.4206867125936258</v>
      </c>
      <c r="C47" s="6">
        <f>Merge60_CSY!AD47</f>
        <v>3.1664345105373557</v>
      </c>
      <c r="D47" s="6">
        <f>Merge60_CSY!AE47</f>
        <v>2.2883944287782998</v>
      </c>
      <c r="E47" s="81">
        <f>Merge60_CSY!AF47</f>
        <v>1.3836926321428833</v>
      </c>
      <c r="F47" s="63">
        <f t="shared" si="4"/>
        <v>3.1484505906446816</v>
      </c>
      <c r="G47" s="81">
        <f t="shared" si="5"/>
        <v>2.5145514813485423</v>
      </c>
      <c r="J47" s="17"/>
      <c r="K47" s="28"/>
      <c r="L47" s="5">
        <v>113.4</v>
      </c>
      <c r="M47" s="58">
        <v>124</v>
      </c>
      <c r="N47" s="5">
        <f t="shared" si="3"/>
        <v>314.8450590644681</v>
      </c>
      <c r="O47" s="58">
        <f t="shared" si="6"/>
        <v>223.65031371120079</v>
      </c>
    </row>
    <row r="48" spans="1:15">
      <c r="A48" s="17">
        <f>'CSY2013'!A21</f>
        <v>1994</v>
      </c>
      <c r="B48" s="63">
        <f>Merge60_CSY!AC48</f>
        <v>2.9200212522689535</v>
      </c>
      <c r="C48" s="6">
        <f>Merge60_CSY!AD48</f>
        <v>4.1852878206863933</v>
      </c>
      <c r="D48" s="6">
        <f>Merge60_CSY!AE48</f>
        <v>2.7164910422678252</v>
      </c>
      <c r="E48" s="81">
        <f>Merge60_CSY!AF48</f>
        <v>1.540696345235272</v>
      </c>
      <c r="F48" s="63">
        <f t="shared" si="4"/>
        <v>4.4046823763119098</v>
      </c>
      <c r="G48" s="81">
        <f t="shared" si="5"/>
        <v>3.0048890202115079</v>
      </c>
      <c r="J48" s="17"/>
      <c r="K48" s="28"/>
      <c r="L48" s="5">
        <v>139.9</v>
      </c>
      <c r="M48" s="58">
        <v>119.5</v>
      </c>
      <c r="N48" s="5">
        <f t="shared" si="3"/>
        <v>440.46823763119085</v>
      </c>
      <c r="O48" s="58">
        <f t="shared" si="6"/>
        <v>267.26212488488494</v>
      </c>
    </row>
    <row r="49" spans="1:15">
      <c r="A49" s="17">
        <f>'CSY2013'!A22</f>
        <v>1995</v>
      </c>
      <c r="B49" s="63">
        <f>Merge60_CSY!AC49</f>
        <v>3.3203794156748101</v>
      </c>
      <c r="C49" s="6">
        <f>Merge60_CSY!AD49</f>
        <v>5.0532113268292935</v>
      </c>
      <c r="D49" s="6">
        <f>Merge60_CSY!AE49</f>
        <v>3.0587712620351182</v>
      </c>
      <c r="E49" s="81">
        <f>Merge60_CSY!AF49</f>
        <v>1.6520396243906115</v>
      </c>
      <c r="F49" s="63">
        <f t="shared" si="4"/>
        <v>5.2812141691979795</v>
      </c>
      <c r="G49" s="81">
        <f t="shared" si="5"/>
        <v>3.4526174842230226</v>
      </c>
      <c r="J49" s="17"/>
      <c r="K49" s="28"/>
      <c r="L49" s="5">
        <v>119.9</v>
      </c>
      <c r="M49" s="58">
        <v>114.9</v>
      </c>
      <c r="N49" s="5">
        <f t="shared" si="3"/>
        <v>528.12141691979787</v>
      </c>
      <c r="O49" s="58">
        <f t="shared" si="6"/>
        <v>307.0841814927328</v>
      </c>
    </row>
    <row r="50" spans="1:15">
      <c r="A50" s="17">
        <f>'CSY2013'!A23</f>
        <v>1996</v>
      </c>
      <c r="B50" s="63">
        <f>Merge60_CSY!AC50</f>
        <v>3.5337822112425386</v>
      </c>
      <c r="C50" s="6">
        <f>Merge60_CSY!AD50</f>
        <v>5.5526174508178432</v>
      </c>
      <c r="D50" s="6">
        <f>Merge60_CSY!AE50</f>
        <v>3.2445409663041005</v>
      </c>
      <c r="E50" s="81">
        <f>Merge60_CSY!AF50</f>
        <v>1.7113722737620118</v>
      </c>
      <c r="F50" s="63">
        <f t="shared" si="4"/>
        <v>5.5030251643042947</v>
      </c>
      <c r="G50" s="81">
        <f t="shared" si="5"/>
        <v>3.5527433912654902</v>
      </c>
      <c r="J50" s="17"/>
      <c r="K50" s="28"/>
      <c r="L50" s="5">
        <v>104.2</v>
      </c>
      <c r="M50" s="58">
        <v>102.9</v>
      </c>
      <c r="N50" s="5">
        <f t="shared" si="3"/>
        <v>550.30251643042936</v>
      </c>
      <c r="O50" s="58">
        <f t="shared" si="6"/>
        <v>315.98962275602207</v>
      </c>
    </row>
    <row r="51" spans="1:15">
      <c r="A51" s="17">
        <f>'CSY2013'!A24</f>
        <v>1997</v>
      </c>
      <c r="B51" s="63">
        <f>Merge60_CSY!AC51</f>
        <v>3.587344175037932</v>
      </c>
      <c r="C51" s="6">
        <f>Merge60_CSY!AD51</f>
        <v>5.5281272895729989</v>
      </c>
      <c r="D51" s="6">
        <f>Merge60_CSY!AE51</f>
        <v>3.3260207022676576</v>
      </c>
      <c r="E51" s="81">
        <f>Merge60_CSY!AF51</f>
        <v>1.6620844499867244</v>
      </c>
      <c r="F51" s="63">
        <f t="shared" si="4"/>
        <v>5.2553890319106014</v>
      </c>
      <c r="G51" s="81">
        <f t="shared" si="5"/>
        <v>3.5420851610916939</v>
      </c>
      <c r="J51" s="17"/>
      <c r="K51" s="28"/>
      <c r="L51" s="5">
        <v>95.5</v>
      </c>
      <c r="M51" s="58">
        <v>99.7</v>
      </c>
      <c r="N51" s="5">
        <f t="shared" si="3"/>
        <v>525.53890319106006</v>
      </c>
      <c r="O51" s="58">
        <f t="shared" si="6"/>
        <v>315.04165388775402</v>
      </c>
    </row>
    <row r="52" spans="1:15">
      <c r="A52" s="17">
        <f>'CSY2013'!A25</f>
        <v>1998</v>
      </c>
      <c r="B52" s="63">
        <f>Merge60_CSY!AC52</f>
        <v>3.5554560087951486</v>
      </c>
      <c r="C52" s="6">
        <f>Merge60_CSY!AD52</f>
        <v>5.4801861855218714</v>
      </c>
      <c r="D52" s="6">
        <f>Merge60_CSY!AE52</f>
        <v>3.3080492023757095</v>
      </c>
      <c r="E52" s="81">
        <f>Merge60_CSY!AF52</f>
        <v>1.6566217278709818</v>
      </c>
      <c r="F52" s="63">
        <f t="shared" si="4"/>
        <v>4.8349579093577537</v>
      </c>
      <c r="G52" s="81">
        <f t="shared" si="5"/>
        <v>3.3968596694869349</v>
      </c>
      <c r="J52" s="17"/>
      <c r="K52" s="28"/>
      <c r="L52" s="5">
        <v>92</v>
      </c>
      <c r="M52" s="58">
        <v>95.9</v>
      </c>
      <c r="N52" s="5">
        <f t="shared" si="3"/>
        <v>483.49579093577523</v>
      </c>
      <c r="O52" s="58">
        <f t="shared" si="6"/>
        <v>302.12494607835612</v>
      </c>
    </row>
    <row r="53" spans="1:15">
      <c r="A53" s="17">
        <f>'CSY2013'!A26</f>
        <v>1999</v>
      </c>
      <c r="B53" s="63">
        <f>Merge60_CSY!AC53</f>
        <v>3.5101861128863545</v>
      </c>
      <c r="C53" s="6">
        <f>Merge60_CSY!AD53</f>
        <v>5.3137964780153215</v>
      </c>
      <c r="D53" s="6">
        <f>Merge60_CSY!AE53</f>
        <v>3.289998785758224</v>
      </c>
      <c r="E53" s="81">
        <f>Merge60_CSY!AF53</f>
        <v>1.6151363037025215</v>
      </c>
      <c r="F53" s="63">
        <f t="shared" si="4"/>
        <v>4.2450930444161079</v>
      </c>
      <c r="G53" s="81">
        <f t="shared" si="5"/>
        <v>3.3153350374192483</v>
      </c>
      <c r="J53" s="17"/>
      <c r="K53" s="28"/>
      <c r="L53" s="5">
        <v>87.8</v>
      </c>
      <c r="M53" s="58">
        <v>97.6</v>
      </c>
      <c r="N53" s="5">
        <f t="shared" si="3"/>
        <v>424.50930444161065</v>
      </c>
      <c r="O53" s="58">
        <f t="shared" si="6"/>
        <v>294.87394737247558</v>
      </c>
    </row>
    <row r="54" spans="1:15">
      <c r="A54" s="17">
        <f>'CSY2013'!A27</f>
        <v>2000</v>
      </c>
      <c r="B54" s="63">
        <f>Merge60_CSY!AC54</f>
        <v>3.5815383913450276</v>
      </c>
      <c r="C54" s="6">
        <f>Merge60_CSY!AD54</f>
        <v>5.2506314818239872</v>
      </c>
      <c r="D54" s="6">
        <f>Merge60_CSY!AE54</f>
        <v>3.3904050985208309</v>
      </c>
      <c r="E54" s="81">
        <f>Merge60_CSY!AF54</f>
        <v>1.5486737806389972</v>
      </c>
      <c r="F54" s="63">
        <f t="shared" si="4"/>
        <v>4.0922696948171282</v>
      </c>
      <c r="G54" s="81">
        <f t="shared" si="5"/>
        <v>3.408164418466987</v>
      </c>
      <c r="J54" s="17"/>
      <c r="K54" s="28"/>
      <c r="L54" s="5">
        <v>96.4</v>
      </c>
      <c r="M54" s="58">
        <v>102.8</v>
      </c>
      <c r="N54" s="5">
        <f t="shared" si="3"/>
        <v>409.22696948171267</v>
      </c>
      <c r="O54" s="58">
        <f t="shared" si="6"/>
        <v>303.13041789890491</v>
      </c>
    </row>
    <row r="55" spans="1:15">
      <c r="A55" s="17">
        <f>'CSY2013'!A28</f>
        <v>2001</v>
      </c>
      <c r="B55" s="63">
        <f>Merge60_CSY!AC55</f>
        <v>3.6550524172736294</v>
      </c>
      <c r="C55" s="6">
        <f>Merge60_CSY!AD55</f>
        <v>5.3935187371246922</v>
      </c>
      <c r="D55" s="6">
        <f>Merge60_CSY!AE55</f>
        <v>3.4671781488706293</v>
      </c>
      <c r="E55" s="81">
        <f>Merge60_CSY!AF55</f>
        <v>1.5555931958331977</v>
      </c>
      <c r="F55" s="63">
        <f t="shared" si="4"/>
        <v>4.1250078523756653</v>
      </c>
      <c r="G55" s="81">
        <f t="shared" si="5"/>
        <v>3.363858281026916</v>
      </c>
      <c r="J55" s="17"/>
      <c r="K55" s="28"/>
      <c r="L55" s="5">
        <v>100.8</v>
      </c>
      <c r="M55" s="58">
        <v>98.7</v>
      </c>
      <c r="N55" s="5">
        <f t="shared" si="3"/>
        <v>412.50078523756639</v>
      </c>
      <c r="O55" s="58">
        <f t="shared" si="6"/>
        <v>299.18972246621911</v>
      </c>
    </row>
    <row r="56" spans="1:15">
      <c r="A56" s="17">
        <f>'CSY2013'!A29</f>
        <v>2002</v>
      </c>
      <c r="B56" s="63">
        <f>Merge60_CSY!AC56</f>
        <v>3.677009525028212</v>
      </c>
      <c r="C56" s="6">
        <f>Merge60_CSY!AD56</f>
        <v>5.492524831553049</v>
      </c>
      <c r="D56" s="6">
        <f>Merge60_CSY!AE56</f>
        <v>3.4930546612203415</v>
      </c>
      <c r="E56" s="81">
        <f>Merge60_CSY!AF56</f>
        <v>1.5724130780232819</v>
      </c>
      <c r="F56" s="63">
        <f t="shared" si="4"/>
        <v>4.1126328288185388</v>
      </c>
      <c r="G56" s="81">
        <f t="shared" si="5"/>
        <v>3.2898533988443237</v>
      </c>
      <c r="J56" s="17"/>
      <c r="K56" s="28"/>
      <c r="L56" s="5">
        <v>99.7</v>
      </c>
      <c r="M56" s="58">
        <v>97.8</v>
      </c>
      <c r="N56" s="5">
        <f t="shared" si="3"/>
        <v>411.26328288185374</v>
      </c>
      <c r="O56" s="58">
        <f t="shared" si="6"/>
        <v>292.6075485719623</v>
      </c>
    </row>
    <row r="57" spans="1:15">
      <c r="A57" s="17">
        <f>'CSY2013'!A30</f>
        <v>2003</v>
      </c>
      <c r="B57" s="63">
        <f>Merge60_CSY!AC57</f>
        <v>3.7721660227900502</v>
      </c>
      <c r="C57" s="6">
        <f>Merge60_CSY!AD57</f>
        <v>5.632274574047325</v>
      </c>
      <c r="D57" s="6">
        <f>Merge60_CSY!AE57</f>
        <v>3.5977922981491792</v>
      </c>
      <c r="E57" s="81">
        <f>Merge60_CSY!AF57</f>
        <v>1.5654807468860137</v>
      </c>
      <c r="F57" s="63">
        <f t="shared" si="4"/>
        <v>4.2935886732865551</v>
      </c>
      <c r="G57" s="81">
        <f t="shared" si="5"/>
        <v>3.3655200270177432</v>
      </c>
      <c r="J57" s="17"/>
      <c r="K57" s="28"/>
      <c r="L57" s="5">
        <v>104.4</v>
      </c>
      <c r="M57" s="58">
        <v>102.3</v>
      </c>
      <c r="N57" s="5">
        <f t="shared" si="3"/>
        <v>429.35886732865532</v>
      </c>
      <c r="O57" s="58">
        <f t="shared" si="6"/>
        <v>299.33752218911741</v>
      </c>
    </row>
    <row r="58" spans="1:15">
      <c r="A58" s="17">
        <f>'CSY2013'!A31</f>
        <v>2004</v>
      </c>
      <c r="B58" s="63">
        <f>Merge60_CSY!AC58</f>
        <v>4.0334769602043989</v>
      </c>
      <c r="C58" s="6">
        <f>Merge60_CSY!AD58</f>
        <v>6.5272444123597895</v>
      </c>
      <c r="D58" s="6">
        <f>Merge60_CSY!AE58</f>
        <v>3.808464676293422</v>
      </c>
      <c r="E58" s="81">
        <f>Merge60_CSY!AF58</f>
        <v>1.7138781548874473</v>
      </c>
      <c r="F58" s="63">
        <f t="shared" si="4"/>
        <v>4.8560487894870938</v>
      </c>
      <c r="G58" s="81">
        <f t="shared" si="5"/>
        <v>3.5708492298721097</v>
      </c>
      <c r="J58" s="17"/>
      <c r="K58" s="28"/>
      <c r="L58" s="5">
        <v>113.1</v>
      </c>
      <c r="M58" s="58">
        <f>O58/O57*100</f>
        <v>106.10096511701084</v>
      </c>
      <c r="N58" s="5">
        <f t="shared" si="3"/>
        <v>485.60487894870914</v>
      </c>
      <c r="O58" s="58">
        <v>317.60000000000002</v>
      </c>
    </row>
    <row r="59" spans="1:15">
      <c r="A59" s="17">
        <f>'CSY2013'!A32</f>
        <v>2005</v>
      </c>
      <c r="B59" s="63">
        <f>Merge60_CSY!AC59</f>
        <v>4.1916046204491595</v>
      </c>
      <c r="C59" s="6">
        <f>Merge60_CSY!AD59</f>
        <v>6.4945761965191888</v>
      </c>
      <c r="D59" s="6">
        <f>Merge60_CSY!AE59</f>
        <v>3.9961202091346637</v>
      </c>
      <c r="E59" s="81">
        <f>Merge60_CSY!AF59</f>
        <v>1.6252204279724485</v>
      </c>
      <c r="F59" s="63">
        <f t="shared" si="4"/>
        <v>4.9240334725399135</v>
      </c>
      <c r="G59" s="81">
        <f t="shared" si="5"/>
        <v>3.7462435875106639</v>
      </c>
      <c r="J59" s="17"/>
      <c r="K59" s="28"/>
      <c r="L59" s="5">
        <v>101.4</v>
      </c>
      <c r="M59" s="58">
        <f t="shared" ref="M59:M66" si="7">O59/O58*100</f>
        <v>104.91183879093198</v>
      </c>
      <c r="N59" s="5">
        <f t="shared" si="3"/>
        <v>492.40334725399111</v>
      </c>
      <c r="O59" s="58">
        <v>333.2</v>
      </c>
    </row>
    <row r="60" spans="1:15">
      <c r="A60" s="17">
        <f>'CSY2013'!A33</f>
        <v>2006</v>
      </c>
      <c r="B60" s="63">
        <f>Merge60_CSY!AC60</f>
        <v>4.3511859034422864</v>
      </c>
      <c r="C60" s="6">
        <f>Merge60_CSY!AD60</f>
        <v>6.6322421207391908</v>
      </c>
      <c r="D60" s="6">
        <f>Merge60_CSY!AE60</f>
        <v>4.1717906046084616</v>
      </c>
      <c r="E60" s="81">
        <f>Merge60_CSY!AF60</f>
        <v>1.5897830810138784</v>
      </c>
      <c r="F60" s="63">
        <f t="shared" si="4"/>
        <v>4.9831218742103927</v>
      </c>
      <c r="G60" s="81">
        <f t="shared" si="5"/>
        <v>3.858675868048199</v>
      </c>
      <c r="J60" s="17"/>
      <c r="K60" s="28"/>
      <c r="L60" s="5">
        <v>101.2</v>
      </c>
      <c r="M60" s="58">
        <f t="shared" si="7"/>
        <v>103.00120048019208</v>
      </c>
      <c r="N60" s="5">
        <f t="shared" si="3"/>
        <v>498.31218742103903</v>
      </c>
      <c r="O60" s="58">
        <v>343.2</v>
      </c>
    </row>
    <row r="61" spans="1:15">
      <c r="A61" s="17">
        <f>'CSY2013'!A34</f>
        <v>2007</v>
      </c>
      <c r="B61" s="63">
        <f>Merge60_CSY!AC61</f>
        <v>4.6835040423004441</v>
      </c>
      <c r="C61" s="6">
        <f>Merge60_CSY!AD61</f>
        <v>7.6127007497529107</v>
      </c>
      <c r="D61" s="6">
        <f>Merge60_CSY!AE61</f>
        <v>4.4756503928570766</v>
      </c>
      <c r="E61" s="81">
        <f>Merge60_CSY!AF61</f>
        <v>1.7009149691187713</v>
      </c>
      <c r="F61" s="63">
        <f t="shared" si="4"/>
        <v>5.9049994209393155</v>
      </c>
      <c r="G61" s="81">
        <f t="shared" si="5"/>
        <v>3.9778540854179862</v>
      </c>
      <c r="J61" s="17"/>
      <c r="K61" s="28"/>
      <c r="L61" s="5">
        <v>118.5</v>
      </c>
      <c r="M61" s="58">
        <f t="shared" si="7"/>
        <v>103.0885780885781</v>
      </c>
      <c r="N61" s="5">
        <f t="shared" si="3"/>
        <v>590.49994209393128</v>
      </c>
      <c r="O61" s="58">
        <v>353.8</v>
      </c>
    </row>
    <row r="62" spans="1:15">
      <c r="A62" s="17">
        <f>'CSY2013'!A35</f>
        <v>2008</v>
      </c>
      <c r="B62" s="63">
        <f>Merge60_CSY!AC62</f>
        <v>5.0471202428684006</v>
      </c>
      <c r="C62" s="6">
        <f>Merge60_CSY!AD62</f>
        <v>8.504850082837967</v>
      </c>
      <c r="D62" s="6">
        <f>Merge60_CSY!AE62</f>
        <v>4.8119353221695897</v>
      </c>
      <c r="E62" s="81">
        <f>Merge60_CSY!AF62</f>
        <v>1.7674489604326868</v>
      </c>
      <c r="F62" s="63">
        <f t="shared" si="4"/>
        <v>6.7376043392917584</v>
      </c>
      <c r="G62" s="81">
        <f t="shared" si="5"/>
        <v>4.2521888499295706</v>
      </c>
      <c r="J62" s="17"/>
      <c r="K62" s="28"/>
      <c r="L62" s="5">
        <v>114.1</v>
      </c>
      <c r="M62" s="58">
        <f t="shared" si="7"/>
        <v>106.89655172413792</v>
      </c>
      <c r="N62" s="5">
        <f t="shared" si="3"/>
        <v>673.76043392917552</v>
      </c>
      <c r="O62" s="58">
        <v>378.2</v>
      </c>
    </row>
    <row r="63" spans="1:15">
      <c r="A63" s="17">
        <f>'CSY2013'!A36</f>
        <v>2009</v>
      </c>
      <c r="B63" s="63">
        <f>Merge60_CSY!AC63</f>
        <v>5.0165212619612847</v>
      </c>
      <c r="C63" s="6">
        <f>Merge60_CSY!AD63</f>
        <v>8.5324779005441549</v>
      </c>
      <c r="D63" s="6">
        <f>Merge60_CSY!AE63</f>
        <v>4.7891039926395553</v>
      </c>
      <c r="E63" s="81">
        <f>Merge60_CSY!AF63</f>
        <v>1.7816438969915556</v>
      </c>
      <c r="F63" s="63">
        <f t="shared" si="4"/>
        <v>6.5759018351487555</v>
      </c>
      <c r="G63" s="81">
        <f t="shared" si="5"/>
        <v>4.0228269976329996</v>
      </c>
      <c r="J63" s="17"/>
      <c r="K63" s="28"/>
      <c r="L63" s="5">
        <v>97.6</v>
      </c>
      <c r="M63" s="58">
        <f t="shared" si="7"/>
        <v>94.606028556319416</v>
      </c>
      <c r="N63" s="5">
        <f t="shared" si="3"/>
        <v>657.59018351487521</v>
      </c>
      <c r="O63" s="58">
        <v>357.8</v>
      </c>
    </row>
    <row r="64" spans="1:15">
      <c r="A64" s="17">
        <f>'CSY2013'!A37</f>
        <v>2010</v>
      </c>
      <c r="B64" s="63">
        <f>Merge60_CSY!AC64</f>
        <v>5.3495540683262037</v>
      </c>
      <c r="C64" s="6">
        <f>Merge60_CSY!AD64</f>
        <v>9.4159092371100552</v>
      </c>
      <c r="D64" s="6">
        <f>Merge60_CSY!AE64</f>
        <v>5.1021378098861767</v>
      </c>
      <c r="E64" s="81">
        <f>Merge60_CSY!AF64</f>
        <v>1.8454831264779408</v>
      </c>
      <c r="F64" s="63">
        <f t="shared" si="4"/>
        <v>7.2926751351799703</v>
      </c>
      <c r="G64" s="81">
        <f t="shared" si="5"/>
        <v>4.2443185902919431</v>
      </c>
      <c r="J64" s="17"/>
      <c r="K64" s="28"/>
      <c r="L64" s="5">
        <v>110.9</v>
      </c>
      <c r="M64" s="58">
        <f t="shared" si="7"/>
        <v>105.50586920067076</v>
      </c>
      <c r="N64" s="5">
        <f t="shared" si="3"/>
        <v>729.26751351799669</v>
      </c>
      <c r="O64" s="58">
        <v>377.5</v>
      </c>
    </row>
    <row r="65" spans="1:15">
      <c r="A65" s="17">
        <f>'CSY2013'!A38</f>
        <v>2011</v>
      </c>
      <c r="B65" s="63">
        <f>Merge60_CSY!AC65</f>
        <v>5.767069037023953</v>
      </c>
      <c r="C65" s="6">
        <f>Merge60_CSY!AD65</f>
        <v>10.581242562322338</v>
      </c>
      <c r="D65" s="6">
        <f>Merge60_CSY!AE65</f>
        <v>5.4884672853063714</v>
      </c>
      <c r="E65" s="81">
        <f>Merge60_CSY!AF65</f>
        <v>1.9279048252050723</v>
      </c>
      <c r="F65" s="63">
        <f t="shared" si="4"/>
        <v>8.4959665324846654</v>
      </c>
      <c r="G65" s="81">
        <f t="shared" si="5"/>
        <v>4.4995398671121469</v>
      </c>
      <c r="J65" s="17"/>
      <c r="K65" s="28"/>
      <c r="L65" s="5">
        <v>116.5</v>
      </c>
      <c r="M65" s="58">
        <f t="shared" si="7"/>
        <v>106.01324503311258</v>
      </c>
      <c r="N65" s="5">
        <f t="shared" si="3"/>
        <v>849.59665324846617</v>
      </c>
      <c r="O65" s="58">
        <v>400.2</v>
      </c>
    </row>
    <row r="66" spans="1:15">
      <c r="A66" s="19">
        <f>'CSY2013'!A39</f>
        <v>2012</v>
      </c>
      <c r="B66" s="65">
        <f>Merge60_CSY!AC66</f>
        <v>5.8761590514666002</v>
      </c>
      <c r="C66" s="66">
        <f>Merge60_CSY!AD66</f>
        <v>11.162530475300343</v>
      </c>
      <c r="D66" s="66">
        <f>Merge60_CSY!AE66</f>
        <v>5.5795454416525079</v>
      </c>
      <c r="E66" s="82">
        <f>Merge60_CSY!AF66</f>
        <v>2.0006164645545588</v>
      </c>
      <c r="F66" s="65">
        <f t="shared" si="4"/>
        <v>8.7253576288617509</v>
      </c>
      <c r="G66" s="82">
        <f t="shared" si="5"/>
        <v>4.423085916346623</v>
      </c>
      <c r="J66" s="19"/>
      <c r="K66" s="30"/>
      <c r="L66" s="38">
        <v>102.7</v>
      </c>
      <c r="M66" s="59">
        <f t="shared" si="7"/>
        <v>98.300849575212396</v>
      </c>
      <c r="N66" s="38">
        <f t="shared" si="3"/>
        <v>872.53576288617478</v>
      </c>
      <c r="O66" s="59">
        <v>393.4</v>
      </c>
    </row>
  </sheetData>
  <mergeCells count="4">
    <mergeCell ref="N2:O2"/>
    <mergeCell ref="L2:M2"/>
    <mergeCell ref="J2:K2"/>
    <mergeCell ref="B2:G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I66"/>
  <sheetViews>
    <sheetView view="pageBreakPreview" zoomScale="130" zoomScaleNormal="100" zoomScaleSheetLayoutView="130" workbookViewId="0">
      <selection activeCell="F3" sqref="F3"/>
    </sheetView>
  </sheetViews>
  <sheetFormatPr defaultRowHeight="15"/>
  <cols>
    <col min="2" max="2" width="10.7109375" customWidth="1"/>
    <col min="3" max="3" width="9.7109375" customWidth="1"/>
    <col min="4" max="4" width="11.28515625" customWidth="1"/>
    <col min="5" max="5" width="11.5703125" customWidth="1"/>
    <col min="9" max="10" width="10.28515625" customWidth="1"/>
    <col min="12" max="15" width="10.140625" customWidth="1"/>
    <col min="18" max="20" width="9.140625" customWidth="1"/>
  </cols>
  <sheetData>
    <row r="1" spans="1:35">
      <c r="A1" t="s">
        <v>159</v>
      </c>
      <c r="B1" t="s">
        <v>162</v>
      </c>
      <c r="I1" t="s">
        <v>79</v>
      </c>
      <c r="M1" t="s">
        <v>76</v>
      </c>
      <c r="R1" t="s">
        <v>75</v>
      </c>
      <c r="Z1" t="s">
        <v>60</v>
      </c>
      <c r="AA1" t="s">
        <v>61</v>
      </c>
    </row>
    <row r="2" spans="1:35" ht="29.65" customHeight="1">
      <c r="A2" s="68"/>
      <c r="B2" s="134" t="s">
        <v>82</v>
      </c>
      <c r="C2" s="134"/>
      <c r="D2" s="134"/>
      <c r="E2" s="135"/>
      <c r="H2" s="26"/>
      <c r="I2" s="145" t="s">
        <v>80</v>
      </c>
      <c r="J2" s="146"/>
      <c r="L2" s="68"/>
      <c r="M2" s="141" t="s">
        <v>77</v>
      </c>
      <c r="N2" s="142"/>
      <c r="Q2" s="68"/>
      <c r="R2" s="138" t="s">
        <v>83</v>
      </c>
      <c r="S2" s="139"/>
      <c r="T2" s="139"/>
      <c r="U2" s="139"/>
      <c r="V2" s="139"/>
      <c r="W2" s="140"/>
      <c r="Y2" s="68"/>
      <c r="Z2" s="122" t="s">
        <v>63</v>
      </c>
      <c r="AA2" s="124"/>
      <c r="AB2" s="124"/>
      <c r="AC2" s="124"/>
      <c r="AD2" s="124"/>
      <c r="AE2" s="124"/>
      <c r="AF2" s="124"/>
      <c r="AG2" s="124"/>
      <c r="AH2" s="124"/>
      <c r="AI2" s="123"/>
    </row>
    <row r="3" spans="1:35" ht="29.65" customHeight="1">
      <c r="A3" s="25"/>
      <c r="B3" s="136"/>
      <c r="C3" s="136"/>
      <c r="D3" s="136"/>
      <c r="E3" s="137"/>
      <c r="H3" s="19"/>
      <c r="I3" s="143" t="s">
        <v>81</v>
      </c>
      <c r="J3" s="144"/>
      <c r="L3" s="25"/>
      <c r="M3" s="143"/>
      <c r="N3" s="144"/>
      <c r="Q3" s="25"/>
      <c r="R3" s="122" t="s">
        <v>72</v>
      </c>
      <c r="S3" s="124"/>
      <c r="T3" s="123"/>
      <c r="U3" s="122" t="s">
        <v>62</v>
      </c>
      <c r="V3" s="124"/>
      <c r="W3" s="123"/>
      <c r="Y3" s="24"/>
      <c r="Z3" s="126" t="s">
        <v>64</v>
      </c>
      <c r="AA3" s="133"/>
      <c r="AB3" s="133" t="s">
        <v>65</v>
      </c>
      <c r="AC3" s="133"/>
      <c r="AD3" s="133" t="s">
        <v>66</v>
      </c>
      <c r="AE3" s="133"/>
      <c r="AF3" s="133" t="s">
        <v>67</v>
      </c>
      <c r="AG3" s="133"/>
      <c r="AH3" s="133" t="s">
        <v>68</v>
      </c>
      <c r="AI3" s="127"/>
    </row>
    <row r="4" spans="1:35" ht="30">
      <c r="A4" s="69" t="s">
        <v>0</v>
      </c>
      <c r="B4" s="60" t="s">
        <v>12</v>
      </c>
      <c r="C4" s="60" t="s">
        <v>104</v>
      </c>
      <c r="D4" s="60" t="s">
        <v>156</v>
      </c>
      <c r="E4" s="56" t="s">
        <v>161</v>
      </c>
      <c r="H4" s="69" t="s">
        <v>0</v>
      </c>
      <c r="I4" s="13" t="s">
        <v>163</v>
      </c>
      <c r="J4" s="15" t="s">
        <v>164</v>
      </c>
      <c r="L4" s="69" t="s">
        <v>0</v>
      </c>
      <c r="M4" s="13" t="s">
        <v>7</v>
      </c>
      <c r="N4" s="15" t="s">
        <v>78</v>
      </c>
      <c r="Q4" s="69" t="s">
        <v>0</v>
      </c>
      <c r="R4" s="16" t="s">
        <v>69</v>
      </c>
      <c r="S4" s="13" t="s">
        <v>70</v>
      </c>
      <c r="T4" s="15" t="s">
        <v>73</v>
      </c>
      <c r="U4" s="13" t="s">
        <v>69</v>
      </c>
      <c r="V4" s="13" t="s">
        <v>74</v>
      </c>
      <c r="W4" s="15" t="s">
        <v>7</v>
      </c>
      <c r="Y4" s="69" t="s">
        <v>0</v>
      </c>
      <c r="Z4" s="16" t="s">
        <v>7</v>
      </c>
      <c r="AA4" s="15" t="s">
        <v>71</v>
      </c>
      <c r="AB4" s="13" t="s">
        <v>7</v>
      </c>
      <c r="AC4" s="15" t="s">
        <v>71</v>
      </c>
      <c r="AD4" s="16" t="s">
        <v>7</v>
      </c>
      <c r="AE4" s="15" t="s">
        <v>71</v>
      </c>
      <c r="AF4" s="13" t="s">
        <v>7</v>
      </c>
      <c r="AG4" s="15" t="s">
        <v>71</v>
      </c>
      <c r="AH4" s="13" t="s">
        <v>7</v>
      </c>
      <c r="AI4" s="15" t="s">
        <v>71</v>
      </c>
    </row>
    <row r="5" spans="1:35">
      <c r="A5" s="68">
        <v>1952</v>
      </c>
      <c r="B5" s="112">
        <f>Merge60_CSY!BF6</f>
        <v>7.8981428850628643E-2</v>
      </c>
      <c r="C5" s="103">
        <f>(C6-B5)/0.95</f>
        <v>52.581381586340264</v>
      </c>
      <c r="D5" s="103">
        <f t="shared" ref="D5:D26" si="0">U5/W5*C5</f>
        <v>22.91460557219942</v>
      </c>
      <c r="E5" s="98">
        <f>C5-D5</f>
        <v>29.666776014140844</v>
      </c>
      <c r="H5" s="24">
        <v>1953</v>
      </c>
      <c r="I5" s="5">
        <v>179.18899999999999</v>
      </c>
      <c r="J5" s="58">
        <f>I5/Merge60_CSY!$AC$54</f>
        <v>50.031293935873883</v>
      </c>
      <c r="L5" s="24">
        <v>1978</v>
      </c>
      <c r="M5" s="5">
        <v>267.50299999999999</v>
      </c>
      <c r="N5" s="58">
        <v>25.565000000000001</v>
      </c>
      <c r="Q5" s="24">
        <v>1952</v>
      </c>
      <c r="R5" s="46">
        <f t="shared" ref="R5:R37" si="1">Z6-Z5</f>
        <v>8.1999999999999993</v>
      </c>
      <c r="S5" s="46">
        <f t="shared" ref="S5:S37" si="2">AB6-AB5+AD6-AD5+AF6-AF5+AH6-AH5</f>
        <v>126</v>
      </c>
      <c r="T5" s="86">
        <v>720</v>
      </c>
      <c r="U5" s="46">
        <v>450</v>
      </c>
      <c r="V5" s="46">
        <f>AB5+AD5+AF5+AH5</f>
        <v>582.6</v>
      </c>
      <c r="W5" s="86">
        <f>V5+U5</f>
        <v>1032.5999999999999</v>
      </c>
      <c r="Y5" s="68">
        <v>1952</v>
      </c>
      <c r="Z5" s="31">
        <v>0</v>
      </c>
      <c r="AA5" s="33">
        <v>0</v>
      </c>
      <c r="AB5" s="32">
        <v>248</v>
      </c>
      <c r="AC5" s="33">
        <v>158.80000000000001</v>
      </c>
      <c r="AD5" s="31">
        <v>9</v>
      </c>
      <c r="AE5" s="33">
        <v>3.1</v>
      </c>
      <c r="AF5" s="32">
        <v>152.30000000000001</v>
      </c>
      <c r="AG5" s="33">
        <v>141.9</v>
      </c>
      <c r="AH5" s="32">
        <v>173.3</v>
      </c>
      <c r="AI5" s="33">
        <v>11.8</v>
      </c>
    </row>
    <row r="6" spans="1:35">
      <c r="A6" s="24">
        <v>1953</v>
      </c>
      <c r="B6" s="113">
        <f>Merge60_CSY!BF7</f>
        <v>1.8329440565259165</v>
      </c>
      <c r="C6" s="91">
        <f>J5</f>
        <v>50.031293935873883</v>
      </c>
      <c r="D6" s="91">
        <f t="shared" si="0"/>
        <v>19.647187934022465</v>
      </c>
      <c r="E6" s="92">
        <f t="shared" ref="E6:E31" si="3">C6-D6</f>
        <v>30.384106001851418</v>
      </c>
      <c r="H6" s="24">
        <v>1954</v>
      </c>
      <c r="I6" s="5">
        <v>219.36600000000001</v>
      </c>
      <c r="J6" s="58">
        <f>I6/Merge60_CSY!$AC$54</f>
        <v>61.249099138545958</v>
      </c>
      <c r="L6" s="24">
        <v>1979</v>
      </c>
      <c r="M6" s="5">
        <v>291.34399999999999</v>
      </c>
      <c r="N6" s="58">
        <v>28.149000000000001</v>
      </c>
      <c r="Q6" s="24">
        <v>1953</v>
      </c>
      <c r="R6" s="46">
        <f t="shared" si="1"/>
        <v>7.3000000000000007</v>
      </c>
      <c r="S6" s="46">
        <f t="shared" si="2"/>
        <v>150.50000000000006</v>
      </c>
      <c r="T6" s="86">
        <f>T5</f>
        <v>720</v>
      </c>
      <c r="U6" s="46">
        <f>U5+R5</f>
        <v>458.2</v>
      </c>
      <c r="V6" s="46">
        <f>V5+S5</f>
        <v>708.6</v>
      </c>
      <c r="W6" s="86">
        <f t="shared" ref="W6:W37" si="4">V6+U6</f>
        <v>1166.8</v>
      </c>
      <c r="Y6" s="24">
        <v>1953</v>
      </c>
      <c r="Z6" s="22">
        <v>8.1999999999999993</v>
      </c>
      <c r="AA6" s="18">
        <v>6.9</v>
      </c>
      <c r="AB6" s="4">
        <v>299.10000000000002</v>
      </c>
      <c r="AC6" s="18">
        <v>191.9</v>
      </c>
      <c r="AD6" s="22">
        <v>18.2</v>
      </c>
      <c r="AE6" s="18">
        <v>6.8</v>
      </c>
      <c r="AF6" s="4">
        <v>162.6</v>
      </c>
      <c r="AG6" s="18">
        <v>151.4</v>
      </c>
      <c r="AH6" s="4">
        <v>228.7</v>
      </c>
      <c r="AI6" s="18">
        <v>14.4</v>
      </c>
    </row>
    <row r="7" spans="1:35">
      <c r="A7" s="24">
        <v>1954</v>
      </c>
      <c r="B7" s="113">
        <f>Merge60_CSY!BF8</f>
        <v>3.5785564493469626</v>
      </c>
      <c r="C7" s="91">
        <f>C6*0.95+B6</f>
        <v>49.362673295606108</v>
      </c>
      <c r="D7" s="91">
        <f t="shared" si="0"/>
        <v>17.347368578517774</v>
      </c>
      <c r="E7" s="92">
        <f t="shared" si="3"/>
        <v>32.015304717088334</v>
      </c>
      <c r="H7" s="24">
        <v>1955</v>
      </c>
      <c r="I7" s="5">
        <v>263.60399999999998</v>
      </c>
      <c r="J7" s="58">
        <f>I7/Merge60_CSY!$AC$54</f>
        <v>73.60077463835448</v>
      </c>
      <c r="L7" s="24">
        <v>1980</v>
      </c>
      <c r="M7" s="5">
        <v>310.53100000000001</v>
      </c>
      <c r="N7" s="58">
        <v>30.234999999999999</v>
      </c>
      <c r="Q7" s="24">
        <v>1954</v>
      </c>
      <c r="R7" s="46">
        <f t="shared" si="1"/>
        <v>9.1000000000000014</v>
      </c>
      <c r="S7" s="46">
        <f t="shared" si="2"/>
        <v>147.30000000000001</v>
      </c>
      <c r="T7" s="86">
        <f t="shared" ref="T7:T37" si="5">T6</f>
        <v>720</v>
      </c>
      <c r="U7" s="46">
        <f t="shared" ref="U7:V22" si="6">U6+R6</f>
        <v>465.5</v>
      </c>
      <c r="V7" s="46">
        <f t="shared" si="6"/>
        <v>859.10000000000014</v>
      </c>
      <c r="W7" s="86">
        <f t="shared" si="4"/>
        <v>1324.6000000000001</v>
      </c>
      <c r="Y7" s="24">
        <v>1954</v>
      </c>
      <c r="Z7" s="22">
        <v>15.5</v>
      </c>
      <c r="AA7" s="18">
        <v>12.3</v>
      </c>
      <c r="AB7" s="4">
        <v>366.3</v>
      </c>
      <c r="AC7" s="18">
        <v>237.4</v>
      </c>
      <c r="AD7" s="22">
        <v>27.8</v>
      </c>
      <c r="AE7" s="18">
        <v>10.8</v>
      </c>
      <c r="AF7" s="4">
        <v>179.7</v>
      </c>
      <c r="AG7" s="18">
        <v>167.7</v>
      </c>
      <c r="AH7" s="4">
        <v>285.3</v>
      </c>
      <c r="AI7" s="18">
        <v>19</v>
      </c>
    </row>
    <row r="8" spans="1:35">
      <c r="A8" s="24">
        <v>1955</v>
      </c>
      <c r="B8" s="113">
        <f>Merge60_CSY!BF9</f>
        <v>2.1722925430200895</v>
      </c>
      <c r="C8" s="91">
        <f t="shared" ref="C8:C66" si="7">C7*0.95+B7</f>
        <v>50.473096080172759</v>
      </c>
      <c r="D8" s="91">
        <f t="shared" si="0"/>
        <v>16.174565428528016</v>
      </c>
      <c r="E8" s="92">
        <f t="shared" si="3"/>
        <v>34.298530651644739</v>
      </c>
      <c r="H8" s="24">
        <v>1956</v>
      </c>
      <c r="I8" s="5">
        <v>327.23200000000003</v>
      </c>
      <c r="J8" s="58">
        <f>I8/Merge60_CSY!$AC$54</f>
        <v>91.366324814714545</v>
      </c>
      <c r="L8" s="24">
        <v>1981</v>
      </c>
      <c r="M8" s="5">
        <v>333.85399999999998</v>
      </c>
      <c r="N8" s="58">
        <v>32.100999999999999</v>
      </c>
      <c r="Q8" s="24">
        <v>1955</v>
      </c>
      <c r="R8" s="46">
        <f t="shared" si="1"/>
        <v>19.899999999999999</v>
      </c>
      <c r="S8" s="46">
        <f t="shared" si="2"/>
        <v>156.40000000000009</v>
      </c>
      <c r="T8" s="86">
        <f t="shared" si="5"/>
        <v>720</v>
      </c>
      <c r="U8" s="46">
        <f t="shared" si="6"/>
        <v>474.6</v>
      </c>
      <c r="V8" s="46">
        <f t="shared" si="6"/>
        <v>1006.4000000000001</v>
      </c>
      <c r="W8" s="86">
        <f t="shared" si="4"/>
        <v>1481</v>
      </c>
      <c r="Y8" s="24">
        <v>1955</v>
      </c>
      <c r="Z8" s="22">
        <v>24.6</v>
      </c>
      <c r="AA8" s="18">
        <v>19.899999999999999</v>
      </c>
      <c r="AB8" s="4">
        <v>436.8</v>
      </c>
      <c r="AC8" s="18">
        <v>288.2</v>
      </c>
      <c r="AD8" s="22">
        <v>36.9</v>
      </c>
      <c r="AE8" s="18">
        <v>15</v>
      </c>
      <c r="AF8" s="4">
        <v>198</v>
      </c>
      <c r="AG8" s="18">
        <v>185.4</v>
      </c>
      <c r="AH8" s="4">
        <v>334.7</v>
      </c>
      <c r="AI8" s="18">
        <v>22.9</v>
      </c>
    </row>
    <row r="9" spans="1:35">
      <c r="A9" s="24">
        <v>1956</v>
      </c>
      <c r="B9" s="113">
        <f>Merge60_CSY!BF10</f>
        <v>5.8142331945037409</v>
      </c>
      <c r="C9" s="91">
        <f t="shared" si="7"/>
        <v>50.121733819184207</v>
      </c>
      <c r="D9" s="91">
        <f t="shared" si="0"/>
        <v>14.955166459655214</v>
      </c>
      <c r="E9" s="92">
        <f t="shared" si="3"/>
        <v>35.166567359528997</v>
      </c>
      <c r="H9" s="24">
        <v>1957</v>
      </c>
      <c r="I9" s="5">
        <v>393.25200000000001</v>
      </c>
      <c r="J9" s="58">
        <f>I9/Merge60_CSY!$AC$54</f>
        <v>109.79974441997153</v>
      </c>
      <c r="L9" s="24">
        <v>1982</v>
      </c>
      <c r="M9" s="5">
        <v>356.09399999999999</v>
      </c>
      <c r="N9" s="58">
        <v>34.752000000000002</v>
      </c>
      <c r="Q9" s="24">
        <v>1956</v>
      </c>
      <c r="R9" s="46">
        <f t="shared" si="1"/>
        <v>14.600000000000001</v>
      </c>
      <c r="S9" s="46">
        <f t="shared" si="2"/>
        <v>186.90000000000003</v>
      </c>
      <c r="T9" s="86">
        <f t="shared" si="5"/>
        <v>720</v>
      </c>
      <c r="U9" s="46">
        <f t="shared" si="6"/>
        <v>494.5</v>
      </c>
      <c r="V9" s="46">
        <f t="shared" si="6"/>
        <v>1162.8000000000002</v>
      </c>
      <c r="W9" s="86">
        <f t="shared" si="4"/>
        <v>1657.3000000000002</v>
      </c>
      <c r="Y9" s="24">
        <v>1956</v>
      </c>
      <c r="Z9" s="22">
        <v>44.5</v>
      </c>
      <c r="AA9" s="18">
        <v>37.1</v>
      </c>
      <c r="AB9" s="4">
        <v>539.20000000000005</v>
      </c>
      <c r="AC9" s="18">
        <v>372.3</v>
      </c>
      <c r="AD9" s="22">
        <v>47.5</v>
      </c>
      <c r="AE9" s="18">
        <v>23.2</v>
      </c>
      <c r="AF9" s="4">
        <v>219.3</v>
      </c>
      <c r="AG9" s="18">
        <v>206.3</v>
      </c>
      <c r="AH9" s="4">
        <v>356.8</v>
      </c>
      <c r="AI9" s="18">
        <v>31</v>
      </c>
    </row>
    <row r="10" spans="1:35">
      <c r="A10" s="24">
        <v>1957</v>
      </c>
      <c r="B10" s="113">
        <f>Merge60_CSY!BF11</f>
        <v>6.9520388239312281</v>
      </c>
      <c r="C10" s="91">
        <f t="shared" si="7"/>
        <v>53.429880322728735</v>
      </c>
      <c r="D10" s="91">
        <f t="shared" si="0"/>
        <v>14.633716415053366</v>
      </c>
      <c r="E10" s="92">
        <f t="shared" si="3"/>
        <v>38.796163907675371</v>
      </c>
      <c r="H10" s="24">
        <v>1958</v>
      </c>
      <c r="I10" s="5">
        <v>494.17500000000001</v>
      </c>
      <c r="J10" s="58">
        <f>I10/Merge60_CSY!$AC$54</f>
        <v>137.97841765264877</v>
      </c>
      <c r="L10" s="24">
        <v>1983</v>
      </c>
      <c r="M10" s="5">
        <v>391.488</v>
      </c>
      <c r="N10" s="58">
        <v>37.960999999999999</v>
      </c>
      <c r="Q10" s="24">
        <v>1957</v>
      </c>
      <c r="R10" s="46">
        <f t="shared" si="1"/>
        <v>26.6</v>
      </c>
      <c r="S10" s="46">
        <f t="shared" si="2"/>
        <v>296.49999999999989</v>
      </c>
      <c r="T10" s="86">
        <f t="shared" si="5"/>
        <v>720</v>
      </c>
      <c r="U10" s="46">
        <f t="shared" si="6"/>
        <v>509.1</v>
      </c>
      <c r="V10" s="46">
        <f t="shared" si="6"/>
        <v>1349.7000000000003</v>
      </c>
      <c r="W10" s="86">
        <f t="shared" si="4"/>
        <v>1858.8000000000002</v>
      </c>
      <c r="Y10" s="24">
        <v>1957</v>
      </c>
      <c r="Z10" s="22">
        <v>59.1</v>
      </c>
      <c r="AA10" s="18">
        <v>47.9</v>
      </c>
      <c r="AB10" s="4">
        <v>632</v>
      </c>
      <c r="AC10" s="18">
        <v>443</v>
      </c>
      <c r="AD10" s="22">
        <v>59.2</v>
      </c>
      <c r="AE10" s="18">
        <v>28.2</v>
      </c>
      <c r="AF10" s="4">
        <v>243.4</v>
      </c>
      <c r="AG10" s="18">
        <v>229.6</v>
      </c>
      <c r="AH10" s="4">
        <v>415.1</v>
      </c>
      <c r="AI10" s="18">
        <v>34.9</v>
      </c>
    </row>
    <row r="11" spans="1:35">
      <c r="A11" s="24">
        <v>1958</v>
      </c>
      <c r="B11" s="113">
        <f>Merge60_CSY!BF12</f>
        <v>27.19355852458213</v>
      </c>
      <c r="C11" s="91">
        <f t="shared" si="7"/>
        <v>57.710425130523518</v>
      </c>
      <c r="D11" s="91">
        <f t="shared" si="0"/>
        <v>14.169061250479603</v>
      </c>
      <c r="E11" s="92">
        <f t="shared" si="3"/>
        <v>43.541363880043917</v>
      </c>
      <c r="H11" s="24">
        <v>1959</v>
      </c>
      <c r="I11" s="5">
        <v>610.59699999999998</v>
      </c>
      <c r="J11" s="58">
        <f>I11/Merge60_CSY!$AC$54</f>
        <v>170.48456090141016</v>
      </c>
      <c r="L11" s="24">
        <v>1984</v>
      </c>
      <c r="M11" s="5">
        <v>431.697</v>
      </c>
      <c r="N11" s="58">
        <v>38.314999999999998</v>
      </c>
      <c r="Q11" s="24">
        <v>1958</v>
      </c>
      <c r="R11" s="46">
        <f t="shared" si="1"/>
        <v>28.200000000000003</v>
      </c>
      <c r="S11" s="46">
        <f t="shared" si="2"/>
        <v>439.39999999999992</v>
      </c>
      <c r="T11" s="86">
        <f t="shared" si="5"/>
        <v>720</v>
      </c>
      <c r="U11" s="46">
        <f t="shared" si="6"/>
        <v>535.70000000000005</v>
      </c>
      <c r="V11" s="46">
        <f t="shared" si="6"/>
        <v>1646.2000000000003</v>
      </c>
      <c r="W11" s="86">
        <f t="shared" si="4"/>
        <v>2181.9000000000005</v>
      </c>
      <c r="Y11" s="24">
        <v>1958</v>
      </c>
      <c r="Z11" s="22">
        <v>85.7</v>
      </c>
      <c r="AA11" s="18">
        <v>74.900000000000006</v>
      </c>
      <c r="AB11" s="4">
        <v>844.4</v>
      </c>
      <c r="AC11" s="18">
        <v>614.1</v>
      </c>
      <c r="AD11" s="22">
        <v>61.6</v>
      </c>
      <c r="AE11" s="18">
        <v>31.9</v>
      </c>
      <c r="AF11" s="4">
        <v>287.39999999999998</v>
      </c>
      <c r="AG11" s="18">
        <v>268.39999999999998</v>
      </c>
      <c r="AH11" s="4">
        <v>452.8</v>
      </c>
      <c r="AI11" s="18">
        <v>41</v>
      </c>
    </row>
    <row r="12" spans="1:35">
      <c r="A12" s="24">
        <v>1959</v>
      </c>
      <c r="B12" s="113">
        <f>Merge60_CSY!BF13</f>
        <v>37.810111201828292</v>
      </c>
      <c r="C12" s="91">
        <f t="shared" si="7"/>
        <v>82.018462398579473</v>
      </c>
      <c r="D12" s="91">
        <f t="shared" si="0"/>
        <v>17.456203414440068</v>
      </c>
      <c r="E12" s="92">
        <f t="shared" si="3"/>
        <v>64.562258984139405</v>
      </c>
      <c r="H12" s="24">
        <v>1960</v>
      </c>
      <c r="I12" s="5">
        <v>736.71900000000005</v>
      </c>
      <c r="J12" s="58">
        <f>I12/Merge60_CSY!$AC$54</f>
        <v>205.69903753658471</v>
      </c>
      <c r="L12" s="24">
        <v>1985</v>
      </c>
      <c r="M12" s="5">
        <v>484.089</v>
      </c>
      <c r="N12" s="58">
        <v>40.637999999999998</v>
      </c>
      <c r="Q12" s="24">
        <v>1959</v>
      </c>
      <c r="R12" s="46">
        <f t="shared" si="1"/>
        <v>38.299999999999983</v>
      </c>
      <c r="S12" s="46">
        <f t="shared" si="2"/>
        <v>394.9</v>
      </c>
      <c r="T12" s="86">
        <f t="shared" si="5"/>
        <v>720</v>
      </c>
      <c r="U12" s="46">
        <f t="shared" si="6"/>
        <v>563.90000000000009</v>
      </c>
      <c r="V12" s="46">
        <f t="shared" si="6"/>
        <v>2085.6000000000004</v>
      </c>
      <c r="W12" s="86">
        <f t="shared" si="4"/>
        <v>2649.5000000000005</v>
      </c>
      <c r="Y12" s="24">
        <v>1959</v>
      </c>
      <c r="Z12" s="22">
        <v>113.9</v>
      </c>
      <c r="AA12" s="18">
        <v>103.3</v>
      </c>
      <c r="AB12" s="4">
        <v>1147.8</v>
      </c>
      <c r="AC12" s="18">
        <v>839.3</v>
      </c>
      <c r="AD12" s="22">
        <v>67.400000000000006</v>
      </c>
      <c r="AE12" s="18">
        <v>39.799999999999997</v>
      </c>
      <c r="AF12" s="4">
        <v>350.4</v>
      </c>
      <c r="AG12" s="18">
        <v>321.60000000000002</v>
      </c>
      <c r="AH12" s="4">
        <v>520</v>
      </c>
      <c r="AI12" s="18">
        <v>50</v>
      </c>
    </row>
    <row r="13" spans="1:35">
      <c r="A13" s="24">
        <v>1960</v>
      </c>
      <c r="B13" s="113">
        <f>Merge60_CSY!BF14</f>
        <v>40.290168933346074</v>
      </c>
      <c r="C13" s="91">
        <f t="shared" si="7"/>
        <v>115.72765048047879</v>
      </c>
      <c r="D13" s="91">
        <f t="shared" si="0"/>
        <v>22.60719211059925</v>
      </c>
      <c r="E13" s="92">
        <f t="shared" si="3"/>
        <v>93.120458369879543</v>
      </c>
      <c r="H13" s="24">
        <v>1961</v>
      </c>
      <c r="I13" s="5">
        <v>798.20699999999999</v>
      </c>
      <c r="J13" s="58">
        <f>I13/Merge60_CSY!$AC$54</f>
        <v>222.86707911016907</v>
      </c>
      <c r="L13" s="24">
        <v>1986</v>
      </c>
      <c r="M13" s="5">
        <v>555.59</v>
      </c>
      <c r="N13" s="58">
        <v>44.555999999999997</v>
      </c>
      <c r="Q13" s="24">
        <v>1960</v>
      </c>
      <c r="R13" s="46">
        <f t="shared" si="1"/>
        <v>18.300000000000011</v>
      </c>
      <c r="S13" s="46">
        <f t="shared" si="2"/>
        <v>151.29999999999995</v>
      </c>
      <c r="T13" s="86">
        <f t="shared" si="5"/>
        <v>720</v>
      </c>
      <c r="U13" s="46">
        <f t="shared" si="6"/>
        <v>602.20000000000005</v>
      </c>
      <c r="V13" s="46">
        <f t="shared" si="6"/>
        <v>2480.5000000000005</v>
      </c>
      <c r="W13" s="86">
        <f t="shared" si="4"/>
        <v>3082.7000000000007</v>
      </c>
      <c r="Y13" s="24">
        <v>1960</v>
      </c>
      <c r="Z13" s="22">
        <v>152.19999999999999</v>
      </c>
      <c r="AA13" s="18">
        <v>143.19999999999999</v>
      </c>
      <c r="AB13" s="4">
        <v>1436.6</v>
      </c>
      <c r="AC13" s="18">
        <v>1086.5</v>
      </c>
      <c r="AD13" s="22">
        <v>73.900000000000006</v>
      </c>
      <c r="AE13" s="18">
        <v>48.2</v>
      </c>
      <c r="AF13" s="4">
        <v>406.3</v>
      </c>
      <c r="AG13" s="18">
        <v>371.8</v>
      </c>
      <c r="AH13" s="4">
        <v>563.70000000000005</v>
      </c>
      <c r="AI13" s="18">
        <v>58.6</v>
      </c>
    </row>
    <row r="14" spans="1:35">
      <c r="A14" s="24">
        <v>1961</v>
      </c>
      <c r="B14" s="113">
        <f>Merge60_CSY!BF15</f>
        <v>3.9391032127388446</v>
      </c>
      <c r="C14" s="91">
        <f t="shared" si="7"/>
        <v>150.2314368898009</v>
      </c>
      <c r="D14" s="91">
        <f t="shared" si="0"/>
        <v>28.66236404701948</v>
      </c>
      <c r="E14" s="92">
        <f t="shared" si="3"/>
        <v>121.56907284278142</v>
      </c>
      <c r="H14" s="24">
        <v>1962</v>
      </c>
      <c r="I14" s="5">
        <v>842.48699999999997</v>
      </c>
      <c r="J14" s="58">
        <f>I14/Merge60_CSY!$AC$54</f>
        <v>235.23048141433114</v>
      </c>
      <c r="L14" s="24">
        <v>1987</v>
      </c>
      <c r="M14" s="5">
        <v>654.66</v>
      </c>
      <c r="N14" s="58">
        <v>52.677</v>
      </c>
      <c r="Q14" s="24">
        <v>1961</v>
      </c>
      <c r="R14" s="46">
        <f t="shared" si="1"/>
        <v>18.699999999999989</v>
      </c>
      <c r="S14" s="46">
        <f t="shared" si="2"/>
        <v>69.399999999999977</v>
      </c>
      <c r="T14" s="86">
        <f t="shared" si="5"/>
        <v>720</v>
      </c>
      <c r="U14" s="46">
        <f t="shared" si="6"/>
        <v>620.5</v>
      </c>
      <c r="V14" s="46">
        <f t="shared" si="6"/>
        <v>2631.8</v>
      </c>
      <c r="W14" s="86">
        <f t="shared" si="4"/>
        <v>3252.3</v>
      </c>
      <c r="Y14" s="24">
        <v>1961</v>
      </c>
      <c r="Z14" s="22">
        <v>170.5</v>
      </c>
      <c r="AA14" s="18">
        <v>160.19999999999999</v>
      </c>
      <c r="AB14" s="4">
        <v>1545.4</v>
      </c>
      <c r="AC14" s="18">
        <v>1174.5</v>
      </c>
      <c r="AD14" s="22">
        <v>76.099999999999994</v>
      </c>
      <c r="AE14" s="18">
        <v>50.4</v>
      </c>
      <c r="AF14" s="4">
        <v>427.9</v>
      </c>
      <c r="AG14" s="18">
        <v>391.2</v>
      </c>
      <c r="AH14" s="4">
        <v>582.4</v>
      </c>
      <c r="AI14" s="18">
        <v>61.4</v>
      </c>
    </row>
    <row r="15" spans="1:35">
      <c r="A15" s="24">
        <v>1962</v>
      </c>
      <c r="B15" s="113">
        <f>Merge60_CSY!BF16</f>
        <v>9.462205849920613E-2</v>
      </c>
      <c r="C15" s="91">
        <f t="shared" si="7"/>
        <v>146.6589682580497</v>
      </c>
      <c r="D15" s="91">
        <f t="shared" si="0"/>
        <v>28.063828436877426</v>
      </c>
      <c r="E15" s="92">
        <f t="shared" si="3"/>
        <v>118.59513982117227</v>
      </c>
      <c r="H15" s="24">
        <v>1963</v>
      </c>
      <c r="I15" s="5">
        <v>897.37099999999998</v>
      </c>
      <c r="J15" s="58">
        <f>I15/Merge60_CSY!$AC$54</f>
        <v>250.55462260813491</v>
      </c>
      <c r="L15" s="24">
        <v>1988</v>
      </c>
      <c r="M15" s="5">
        <v>774.17100000000005</v>
      </c>
      <c r="N15" s="58">
        <v>59.703000000000003</v>
      </c>
      <c r="Q15" s="24">
        <v>1962</v>
      </c>
      <c r="R15" s="46">
        <f t="shared" si="1"/>
        <v>31.200000000000017</v>
      </c>
      <c r="S15" s="46">
        <f t="shared" si="2"/>
        <v>123.70000000000005</v>
      </c>
      <c r="T15" s="86">
        <f t="shared" si="5"/>
        <v>720</v>
      </c>
      <c r="U15" s="46">
        <f t="shared" si="6"/>
        <v>639.20000000000005</v>
      </c>
      <c r="V15" s="46">
        <f t="shared" si="6"/>
        <v>2701.2000000000003</v>
      </c>
      <c r="W15" s="86">
        <f t="shared" si="4"/>
        <v>3340.4000000000005</v>
      </c>
      <c r="Y15" s="24">
        <v>1962</v>
      </c>
      <c r="Z15" s="22">
        <v>189.2</v>
      </c>
      <c r="AA15" s="18">
        <v>176.2</v>
      </c>
      <c r="AB15" s="4">
        <v>1600</v>
      </c>
      <c r="AC15" s="18">
        <v>1224.9000000000001</v>
      </c>
      <c r="AD15" s="22">
        <v>79</v>
      </c>
      <c r="AE15" s="18">
        <v>51.7</v>
      </c>
      <c r="AF15" s="4">
        <v>437.2</v>
      </c>
      <c r="AG15" s="18">
        <v>400.9</v>
      </c>
      <c r="AH15" s="4">
        <v>585</v>
      </c>
      <c r="AI15" s="18">
        <v>62.7</v>
      </c>
    </row>
    <row r="16" spans="1:35">
      <c r="A16" s="24">
        <v>1963</v>
      </c>
      <c r="B16" s="113">
        <f>Merge60_CSY!BF17</f>
        <v>2.6995591088277719</v>
      </c>
      <c r="C16" s="91">
        <f t="shared" si="7"/>
        <v>139.42064190364641</v>
      </c>
      <c r="D16" s="91">
        <f t="shared" si="0"/>
        <v>26.740937353647627</v>
      </c>
      <c r="E16" s="92">
        <f t="shared" si="3"/>
        <v>112.67970454999879</v>
      </c>
      <c r="H16" s="24">
        <v>1964</v>
      </c>
      <c r="I16" s="5">
        <v>975.94899999999996</v>
      </c>
      <c r="J16" s="58">
        <f>I16/Merge60_CSY!$AC$54</f>
        <v>272.49435671510071</v>
      </c>
      <c r="L16" s="24">
        <v>1989</v>
      </c>
      <c r="M16" s="5">
        <v>908.83399999999995</v>
      </c>
      <c r="N16" s="58">
        <v>66.900999999999996</v>
      </c>
      <c r="Q16" s="24">
        <v>1963</v>
      </c>
      <c r="R16" s="46">
        <f t="shared" si="1"/>
        <v>34.099999999999994</v>
      </c>
      <c r="S16" s="46">
        <f t="shared" si="2"/>
        <v>187.39999999999998</v>
      </c>
      <c r="T16" s="86">
        <f t="shared" si="5"/>
        <v>720</v>
      </c>
      <c r="U16" s="46">
        <f t="shared" si="6"/>
        <v>670.40000000000009</v>
      </c>
      <c r="V16" s="46">
        <f t="shared" si="6"/>
        <v>2824.9000000000005</v>
      </c>
      <c r="W16" s="86">
        <f t="shared" si="4"/>
        <v>3495.3000000000006</v>
      </c>
      <c r="Y16" s="24">
        <v>1963</v>
      </c>
      <c r="Z16" s="22">
        <v>220.4</v>
      </c>
      <c r="AA16" s="18">
        <v>203.8</v>
      </c>
      <c r="AB16" s="4">
        <v>1682</v>
      </c>
      <c r="AC16" s="18">
        <v>1292.5999999999999</v>
      </c>
      <c r="AD16" s="22">
        <v>83.8</v>
      </c>
      <c r="AE16" s="18">
        <v>54.6</v>
      </c>
      <c r="AF16" s="4">
        <v>445.1</v>
      </c>
      <c r="AG16" s="18">
        <v>410</v>
      </c>
      <c r="AH16" s="4">
        <v>614</v>
      </c>
      <c r="AI16" s="18">
        <v>65</v>
      </c>
    </row>
    <row r="17" spans="1:35">
      <c r="A17" s="24">
        <v>1964</v>
      </c>
      <c r="B17" s="113">
        <f>Merge60_CSY!BF18</f>
        <v>15.582303761512092</v>
      </c>
      <c r="C17" s="91">
        <f t="shared" si="7"/>
        <v>135.14916891729186</v>
      </c>
      <c r="D17" s="91">
        <f t="shared" si="0"/>
        <v>25.616818096812342</v>
      </c>
      <c r="E17" s="92">
        <f t="shared" si="3"/>
        <v>109.53235082047952</v>
      </c>
      <c r="H17" s="24">
        <v>1965</v>
      </c>
      <c r="I17" s="5">
        <v>1085.0840000000001</v>
      </c>
      <c r="J17" s="58">
        <f>I17/Merge60_CSY!$AC$54</f>
        <v>302.96589940852277</v>
      </c>
      <c r="L17" s="24">
        <v>1990</v>
      </c>
      <c r="M17" s="5">
        <v>1043.46</v>
      </c>
      <c r="N17" s="58">
        <v>70.3</v>
      </c>
      <c r="Q17" s="24">
        <v>1964</v>
      </c>
      <c r="R17" s="46">
        <f t="shared" si="1"/>
        <v>32.800000000000011</v>
      </c>
      <c r="S17" s="46">
        <f t="shared" si="2"/>
        <v>266.89999999999998</v>
      </c>
      <c r="T17" s="86">
        <f t="shared" si="5"/>
        <v>720</v>
      </c>
      <c r="U17" s="46">
        <f t="shared" si="6"/>
        <v>704.50000000000011</v>
      </c>
      <c r="V17" s="46">
        <f t="shared" si="6"/>
        <v>3012.3000000000006</v>
      </c>
      <c r="W17" s="86">
        <f t="shared" si="4"/>
        <v>3716.8000000000006</v>
      </c>
      <c r="Y17" s="24">
        <v>1964</v>
      </c>
      <c r="Z17" s="22">
        <v>254.5</v>
      </c>
      <c r="AA17" s="18">
        <v>234.7</v>
      </c>
      <c r="AB17" s="4">
        <v>1805.5</v>
      </c>
      <c r="AC17" s="18">
        <v>1401.7</v>
      </c>
      <c r="AD17" s="22">
        <v>91.1</v>
      </c>
      <c r="AE17" s="18">
        <v>60</v>
      </c>
      <c r="AF17" s="4">
        <v>460.5</v>
      </c>
      <c r="AG17" s="18">
        <v>426.8</v>
      </c>
      <c r="AH17" s="4">
        <v>655.20000000000005</v>
      </c>
      <c r="AI17" s="18">
        <v>68.900000000000006</v>
      </c>
    </row>
    <row r="18" spans="1:35">
      <c r="A18" s="24">
        <v>1965</v>
      </c>
      <c r="B18" s="113">
        <f>Merge60_CSY!BF19</f>
        <v>27.787412848567492</v>
      </c>
      <c r="C18" s="91">
        <f t="shared" si="7"/>
        <v>143.97401423293937</v>
      </c>
      <c r="D18" s="91">
        <f t="shared" si="0"/>
        <v>26.42899058731388</v>
      </c>
      <c r="E18" s="92">
        <f t="shared" si="3"/>
        <v>117.54502364562549</v>
      </c>
      <c r="H18" s="24">
        <v>1966</v>
      </c>
      <c r="I18" s="5">
        <v>1188.08</v>
      </c>
      <c r="J18" s="58">
        <f>I18/Merge60_CSY!$AC$54</f>
        <v>331.72337419893546</v>
      </c>
      <c r="L18" s="24">
        <v>1991</v>
      </c>
      <c r="M18" s="5">
        <v>1204.105</v>
      </c>
      <c r="N18" s="58">
        <v>73.891000000000005</v>
      </c>
      <c r="Q18" s="24">
        <v>1965</v>
      </c>
      <c r="R18" s="46">
        <f t="shared" si="1"/>
        <v>31.699999999999989</v>
      </c>
      <c r="S18" s="46">
        <f t="shared" si="2"/>
        <v>375.59999999999991</v>
      </c>
      <c r="T18" s="86">
        <f t="shared" si="5"/>
        <v>720</v>
      </c>
      <c r="U18" s="46">
        <f t="shared" si="6"/>
        <v>737.30000000000018</v>
      </c>
      <c r="V18" s="46">
        <f t="shared" si="6"/>
        <v>3279.2000000000007</v>
      </c>
      <c r="W18" s="86">
        <f t="shared" si="4"/>
        <v>4016.5000000000009</v>
      </c>
      <c r="Y18" s="24">
        <v>1965</v>
      </c>
      <c r="Z18" s="22">
        <v>287.3</v>
      </c>
      <c r="AA18" s="18">
        <v>265.2</v>
      </c>
      <c r="AB18" s="4">
        <v>1957.2</v>
      </c>
      <c r="AC18" s="18">
        <v>1533.6</v>
      </c>
      <c r="AD18" s="22">
        <v>100</v>
      </c>
      <c r="AE18" s="18">
        <v>66.5</v>
      </c>
      <c r="AF18" s="4">
        <v>494.2</v>
      </c>
      <c r="AG18" s="18">
        <v>463.8</v>
      </c>
      <c r="AH18" s="4">
        <v>727.8</v>
      </c>
      <c r="AI18" s="18">
        <v>74</v>
      </c>
    </row>
    <row r="19" spans="1:35">
      <c r="A19" s="24">
        <v>1966</v>
      </c>
      <c r="B19" s="113">
        <f>Merge60_CSY!BF20</f>
        <v>34.131754944653302</v>
      </c>
      <c r="C19" s="91">
        <f t="shared" si="7"/>
        <v>164.56272636985989</v>
      </c>
      <c r="D19" s="91">
        <f t="shared" si="0"/>
        <v>28.606342189615777</v>
      </c>
      <c r="E19" s="92">
        <f t="shared" si="3"/>
        <v>135.9563841802441</v>
      </c>
      <c r="H19" s="24">
        <v>1967</v>
      </c>
      <c r="I19" s="5">
        <v>1247.998</v>
      </c>
      <c r="J19" s="58">
        <f>I19/Merge60_CSY!$AC$54</f>
        <v>348.45305665739943</v>
      </c>
      <c r="L19" s="24">
        <v>1992</v>
      </c>
      <c r="M19" s="5">
        <v>1312.4559999999999</v>
      </c>
      <c r="N19" s="58">
        <v>75.394000000000005</v>
      </c>
      <c r="Q19" s="24">
        <v>1966</v>
      </c>
      <c r="R19" s="46">
        <f t="shared" si="1"/>
        <v>19.399999999999977</v>
      </c>
      <c r="S19" s="46">
        <f t="shared" si="2"/>
        <v>340.99999999999977</v>
      </c>
      <c r="T19" s="86">
        <f t="shared" si="5"/>
        <v>720</v>
      </c>
      <c r="U19" s="46">
        <f t="shared" si="6"/>
        <v>769.00000000000023</v>
      </c>
      <c r="V19" s="46">
        <f t="shared" si="6"/>
        <v>3654.8000000000006</v>
      </c>
      <c r="W19" s="86">
        <f t="shared" si="4"/>
        <v>4423.8000000000011</v>
      </c>
      <c r="Y19" s="24">
        <v>1966</v>
      </c>
      <c r="Z19" s="22">
        <v>319</v>
      </c>
      <c r="AA19" s="18">
        <v>293.2</v>
      </c>
      <c r="AB19" s="4">
        <v>2198.5</v>
      </c>
      <c r="AC19" s="18">
        <v>1697.6</v>
      </c>
      <c r="AD19" s="22">
        <v>108.8</v>
      </c>
      <c r="AE19" s="18">
        <v>74.2</v>
      </c>
      <c r="AF19" s="4">
        <v>537.29999999999995</v>
      </c>
      <c r="AG19" s="18">
        <v>502.9</v>
      </c>
      <c r="AH19" s="4">
        <v>810.2</v>
      </c>
      <c r="AI19" s="18">
        <v>79.599999999999994</v>
      </c>
    </row>
    <row r="20" spans="1:35">
      <c r="A20" s="24">
        <v>1967</v>
      </c>
      <c r="B20" s="113">
        <f>Merge60_CSY!BF21</f>
        <v>23.432663635511744</v>
      </c>
      <c r="C20" s="91">
        <f t="shared" si="7"/>
        <v>190.46634499602018</v>
      </c>
      <c r="D20" s="91">
        <f t="shared" si="0"/>
        <v>31.387414070244205</v>
      </c>
      <c r="E20" s="92">
        <f t="shared" si="3"/>
        <v>159.07893092577598</v>
      </c>
      <c r="H20" s="24">
        <v>1968</v>
      </c>
      <c r="I20" s="5">
        <v>1296.8489999999999</v>
      </c>
      <c r="J20" s="58">
        <f>I20/Merge60_CSY!$AC$54</f>
        <v>362.09272616870516</v>
      </c>
      <c r="L20" s="24">
        <v>1993</v>
      </c>
      <c r="M20" s="5">
        <v>1443.6880000000001</v>
      </c>
      <c r="N20" s="58">
        <v>80.679000000000002</v>
      </c>
      <c r="Q20" s="24">
        <v>1967</v>
      </c>
      <c r="R20" s="46">
        <f t="shared" si="1"/>
        <v>14.900000000000034</v>
      </c>
      <c r="S20" s="46">
        <f t="shared" si="2"/>
        <v>141.70000000000016</v>
      </c>
      <c r="T20" s="86">
        <f t="shared" si="5"/>
        <v>720</v>
      </c>
      <c r="U20" s="46">
        <f t="shared" si="6"/>
        <v>788.4000000000002</v>
      </c>
      <c r="V20" s="46">
        <f t="shared" si="6"/>
        <v>3995.8</v>
      </c>
      <c r="W20" s="86">
        <f t="shared" si="4"/>
        <v>4784.2000000000007</v>
      </c>
      <c r="Y20" s="24">
        <v>1967</v>
      </c>
      <c r="Z20" s="22">
        <v>338.4</v>
      </c>
      <c r="AA20" s="18">
        <v>311.39999999999998</v>
      </c>
      <c r="AB20" s="4">
        <v>2352.1</v>
      </c>
      <c r="AC20" s="18">
        <v>1803.7</v>
      </c>
      <c r="AD20" s="22">
        <v>114.2</v>
      </c>
      <c r="AE20" s="18">
        <v>79.400000000000006</v>
      </c>
      <c r="AF20" s="4">
        <v>563.4</v>
      </c>
      <c r="AG20" s="18">
        <v>526.4</v>
      </c>
      <c r="AH20" s="4">
        <v>966.1</v>
      </c>
      <c r="AI20" s="18">
        <v>83</v>
      </c>
    </row>
    <row r="21" spans="1:35">
      <c r="A21" s="24">
        <v>1968</v>
      </c>
      <c r="B21" s="113">
        <f>Merge60_CSY!BF22</f>
        <v>15.989486997853263</v>
      </c>
      <c r="C21" s="91">
        <f t="shared" si="7"/>
        <v>204.37569138173092</v>
      </c>
      <c r="D21" s="91">
        <f t="shared" si="0"/>
        <v>33.228423106975484</v>
      </c>
      <c r="E21" s="92">
        <f t="shared" si="3"/>
        <v>171.14726827475545</v>
      </c>
      <c r="H21" s="24">
        <v>1969</v>
      </c>
      <c r="I21" s="5">
        <v>1378.048</v>
      </c>
      <c r="J21" s="58">
        <f>I21/Merge60_CSY!$AC$54</f>
        <v>384.76426870925746</v>
      </c>
      <c r="L21" s="24">
        <v>1994</v>
      </c>
      <c r="M21" s="5">
        <v>1608.2270000000001</v>
      </c>
      <c r="N21" s="58">
        <v>88.813999999999993</v>
      </c>
      <c r="Q21" s="24">
        <v>1968</v>
      </c>
      <c r="R21" s="46">
        <f t="shared" si="1"/>
        <v>26</v>
      </c>
      <c r="S21" s="46">
        <f t="shared" si="2"/>
        <v>282.69999999999982</v>
      </c>
      <c r="T21" s="86">
        <f t="shared" si="5"/>
        <v>720</v>
      </c>
      <c r="U21" s="46">
        <f t="shared" si="6"/>
        <v>803.30000000000018</v>
      </c>
      <c r="V21" s="46">
        <f t="shared" si="6"/>
        <v>4137.5</v>
      </c>
      <c r="W21" s="86">
        <f t="shared" si="4"/>
        <v>4940.8</v>
      </c>
      <c r="Y21" s="24">
        <v>1968</v>
      </c>
      <c r="Z21" s="22">
        <v>353.3</v>
      </c>
      <c r="AA21" s="18">
        <v>326.5</v>
      </c>
      <c r="AB21" s="4">
        <v>2496.4</v>
      </c>
      <c r="AC21" s="18">
        <v>1889.8</v>
      </c>
      <c r="AD21" s="22">
        <v>118.1</v>
      </c>
      <c r="AE21" s="18">
        <v>83.8</v>
      </c>
      <c r="AF21" s="4">
        <v>584.5</v>
      </c>
      <c r="AG21" s="18">
        <v>544</v>
      </c>
      <c r="AH21" s="4">
        <v>938.5</v>
      </c>
      <c r="AI21" s="18">
        <v>85.4</v>
      </c>
    </row>
    <row r="22" spans="1:35">
      <c r="A22" s="24">
        <v>1969</v>
      </c>
      <c r="B22" s="113">
        <f>Merge60_CSY!BF23</f>
        <v>31.048266855293953</v>
      </c>
      <c r="C22" s="91">
        <f t="shared" si="7"/>
        <v>210.14639381049761</v>
      </c>
      <c r="D22" s="91">
        <f t="shared" si="0"/>
        <v>33.198286386712205</v>
      </c>
      <c r="E22" s="92">
        <f t="shared" si="3"/>
        <v>176.94810742378542</v>
      </c>
      <c r="H22" s="24">
        <v>1970</v>
      </c>
      <c r="I22" s="5">
        <v>1511.835</v>
      </c>
      <c r="J22" s="58">
        <f>I22/Merge60_CSY!$AC$54</f>
        <v>422.11888713895331</v>
      </c>
      <c r="L22" s="24">
        <v>1995</v>
      </c>
      <c r="M22" s="5">
        <v>1941.1890000000001</v>
      </c>
      <c r="N22" s="58">
        <v>104.02</v>
      </c>
      <c r="Q22" s="24">
        <v>1969</v>
      </c>
      <c r="R22" s="46">
        <f t="shared" si="1"/>
        <v>43.099999999999966</v>
      </c>
      <c r="S22" s="46">
        <f t="shared" si="2"/>
        <v>495.9000000000002</v>
      </c>
      <c r="T22" s="86">
        <f t="shared" si="5"/>
        <v>720</v>
      </c>
      <c r="U22" s="46">
        <f t="shared" si="6"/>
        <v>829.30000000000018</v>
      </c>
      <c r="V22" s="46">
        <f t="shared" si="6"/>
        <v>4420.2</v>
      </c>
      <c r="W22" s="86">
        <f t="shared" si="4"/>
        <v>5249.5</v>
      </c>
      <c r="Y22" s="24">
        <v>1969</v>
      </c>
      <c r="Z22" s="22">
        <v>379.3</v>
      </c>
      <c r="AA22" s="18">
        <v>351.8</v>
      </c>
      <c r="AB22" s="4">
        <v>2682.7</v>
      </c>
      <c r="AC22" s="18">
        <v>2037.5</v>
      </c>
      <c r="AD22" s="22">
        <v>125.2</v>
      </c>
      <c r="AE22" s="18">
        <v>90.8</v>
      </c>
      <c r="AF22" s="4">
        <v>621.70000000000005</v>
      </c>
      <c r="AG22" s="18">
        <v>579.20000000000005</v>
      </c>
      <c r="AH22" s="4">
        <v>990.6</v>
      </c>
      <c r="AI22" s="18">
        <v>90.5</v>
      </c>
    </row>
    <row r="23" spans="1:35">
      <c r="A23" s="24">
        <v>1970</v>
      </c>
      <c r="B23" s="113">
        <f>Merge60_CSY!BF24</f>
        <v>55.213394465144809</v>
      </c>
      <c r="C23" s="91">
        <f t="shared" si="7"/>
        <v>230.68734097526666</v>
      </c>
      <c r="D23" s="91">
        <f t="shared" si="0"/>
        <v>34.767493524543951</v>
      </c>
      <c r="E23" s="92">
        <f t="shared" si="3"/>
        <v>195.91984745072273</v>
      </c>
      <c r="H23" s="24">
        <v>1971</v>
      </c>
      <c r="I23" s="5">
        <v>1638.825</v>
      </c>
      <c r="J23" s="58">
        <f>I23/Merge60_CSY!$AC$54</f>
        <v>457.57571773076768</v>
      </c>
      <c r="L23" s="24">
        <v>1996</v>
      </c>
      <c r="M23" s="5">
        <v>2345.5520000000001</v>
      </c>
      <c r="N23" s="58">
        <v>119.078</v>
      </c>
      <c r="Q23" s="24">
        <v>1970</v>
      </c>
      <c r="R23" s="46">
        <f t="shared" si="1"/>
        <v>56.600000000000023</v>
      </c>
      <c r="S23" s="46">
        <f t="shared" si="2"/>
        <v>536</v>
      </c>
      <c r="T23" s="86">
        <f t="shared" si="5"/>
        <v>720</v>
      </c>
      <c r="U23" s="46">
        <f t="shared" ref="U23:V37" si="8">U22+R22</f>
        <v>872.40000000000009</v>
      </c>
      <c r="V23" s="46">
        <f t="shared" si="8"/>
        <v>4916.1000000000004</v>
      </c>
      <c r="W23" s="86">
        <f t="shared" si="4"/>
        <v>5788.5</v>
      </c>
      <c r="Y23" s="24">
        <v>1970</v>
      </c>
      <c r="Z23" s="22">
        <v>422.4</v>
      </c>
      <c r="AA23" s="18">
        <v>390.3</v>
      </c>
      <c r="AB23" s="4">
        <v>3001</v>
      </c>
      <c r="AC23" s="18">
        <v>2261.6</v>
      </c>
      <c r="AD23" s="22">
        <v>137.1</v>
      </c>
      <c r="AE23" s="18">
        <v>101.2</v>
      </c>
      <c r="AF23" s="4">
        <v>681.6</v>
      </c>
      <c r="AG23" s="18">
        <v>634.20000000000005</v>
      </c>
      <c r="AH23" s="4">
        <v>1096.4000000000001</v>
      </c>
      <c r="AI23" s="18">
        <v>98.5</v>
      </c>
    </row>
    <row r="24" spans="1:35">
      <c r="A24" s="24">
        <v>1971</v>
      </c>
      <c r="B24" s="113">
        <f>Merge60_CSY!BF25</f>
        <v>62.352943154558105</v>
      </c>
      <c r="C24" s="91">
        <f t="shared" si="7"/>
        <v>274.36636839164811</v>
      </c>
      <c r="D24" s="91">
        <f t="shared" si="0"/>
        <v>39.943952647010875</v>
      </c>
      <c r="E24" s="92">
        <f t="shared" si="3"/>
        <v>234.42241574463725</v>
      </c>
      <c r="F24" s="6">
        <f>D26/C26</f>
        <v>0.13715792944279592</v>
      </c>
      <c r="H24" s="24">
        <v>1972</v>
      </c>
      <c r="I24" s="5">
        <v>1768.0360000000001</v>
      </c>
      <c r="J24" s="58">
        <f>I24/Merge60_CSY!$AC$54</f>
        <v>493.65267290518238</v>
      </c>
      <c r="L24" s="24">
        <v>1997</v>
      </c>
      <c r="M24" s="5">
        <v>2855.038</v>
      </c>
      <c r="N24" s="58">
        <v>135.19900000000001</v>
      </c>
      <c r="Q24" s="24">
        <v>1971</v>
      </c>
      <c r="R24" s="46">
        <f t="shared" si="1"/>
        <v>52.5</v>
      </c>
      <c r="S24" s="46">
        <f t="shared" si="2"/>
        <v>507.19999999999982</v>
      </c>
      <c r="T24" s="86">
        <f t="shared" si="5"/>
        <v>720</v>
      </c>
      <c r="U24" s="46">
        <f t="shared" si="8"/>
        <v>929.00000000000011</v>
      </c>
      <c r="V24" s="46">
        <f t="shared" si="8"/>
        <v>5452.1</v>
      </c>
      <c r="W24" s="86">
        <f t="shared" si="4"/>
        <v>6381.1</v>
      </c>
      <c r="Y24" s="24">
        <v>1971</v>
      </c>
      <c r="Z24" s="22">
        <v>479</v>
      </c>
      <c r="AA24" s="18">
        <v>430.4</v>
      </c>
      <c r="AB24" s="4">
        <v>3335.8</v>
      </c>
      <c r="AC24" s="18">
        <v>2511.9</v>
      </c>
      <c r="AD24" s="22">
        <v>153.80000000000001</v>
      </c>
      <c r="AE24" s="18">
        <v>112</v>
      </c>
      <c r="AF24" s="4">
        <v>759.9</v>
      </c>
      <c r="AG24" s="18">
        <v>706</v>
      </c>
      <c r="AH24" s="4">
        <v>1202.5999999999999</v>
      </c>
      <c r="AI24" s="18">
        <v>110.3</v>
      </c>
    </row>
    <row r="25" spans="1:35">
      <c r="A25" s="24">
        <v>1972</v>
      </c>
      <c r="B25" s="113">
        <f>Merge60_CSY!BF26</f>
        <v>63.723994305434069</v>
      </c>
      <c r="C25" s="91">
        <f t="shared" si="7"/>
        <v>323.00099312662377</v>
      </c>
      <c r="D25" s="91">
        <f t="shared" si="0"/>
        <v>45.675638939860143</v>
      </c>
      <c r="E25" s="92">
        <f t="shared" si="3"/>
        <v>277.3253541867636</v>
      </c>
      <c r="F25" s="6">
        <f>F24+(F$29-F$24)/5</f>
        <v>0.12884014788540313</v>
      </c>
      <c r="H25" s="24">
        <v>1973</v>
      </c>
      <c r="I25" s="5">
        <v>1929.537</v>
      </c>
      <c r="J25" s="58">
        <f>I25/Merge60_CSY!$AC$54</f>
        <v>538.74530695045064</v>
      </c>
      <c r="L25" s="24">
        <v>1998</v>
      </c>
      <c r="M25" s="5">
        <v>3207.1579999999999</v>
      </c>
      <c r="N25" s="58">
        <v>138.44300000000001</v>
      </c>
      <c r="Q25" s="24">
        <v>1972</v>
      </c>
      <c r="R25" s="46">
        <f t="shared" si="1"/>
        <v>58.5</v>
      </c>
      <c r="S25" s="46">
        <f t="shared" si="2"/>
        <v>583.19999999999982</v>
      </c>
      <c r="T25" s="86">
        <f t="shared" si="5"/>
        <v>720</v>
      </c>
      <c r="U25" s="46">
        <f t="shared" si="8"/>
        <v>981.50000000000011</v>
      </c>
      <c r="V25" s="46">
        <f t="shared" si="8"/>
        <v>5959.3</v>
      </c>
      <c r="W25" s="86">
        <f t="shared" si="4"/>
        <v>6940.8</v>
      </c>
      <c r="Y25" s="24">
        <v>1972</v>
      </c>
      <c r="Z25" s="22">
        <v>531.5</v>
      </c>
      <c r="AA25" s="18">
        <v>471.6</v>
      </c>
      <c r="AB25" s="4">
        <v>3657</v>
      </c>
      <c r="AC25" s="18">
        <v>2768.7</v>
      </c>
      <c r="AD25" s="22">
        <v>169</v>
      </c>
      <c r="AE25" s="18">
        <v>123.3</v>
      </c>
      <c r="AF25" s="4">
        <v>836.2</v>
      </c>
      <c r="AG25" s="18">
        <v>777.1</v>
      </c>
      <c r="AH25" s="4">
        <v>1297.0999999999999</v>
      </c>
      <c r="AI25" s="18">
        <v>122</v>
      </c>
    </row>
    <row r="26" spans="1:35">
      <c r="A26" s="24">
        <v>1973</v>
      </c>
      <c r="B26" s="113">
        <f>Merge60_CSY!BF27</f>
        <v>72.831187028534572</v>
      </c>
      <c r="C26" s="91">
        <f t="shared" si="7"/>
        <v>370.57493777572665</v>
      </c>
      <c r="D26" s="91">
        <f t="shared" si="0"/>
        <v>50.827291168711604</v>
      </c>
      <c r="E26" s="92">
        <f t="shared" si="3"/>
        <v>319.74764660701504</v>
      </c>
      <c r="F26" s="6">
        <f>F25+(F$29-F$24)/5</f>
        <v>0.12052236632801032</v>
      </c>
      <c r="H26" s="24">
        <v>1974</v>
      </c>
      <c r="I26" s="5">
        <v>2101.1759999999999</v>
      </c>
      <c r="J26" s="58">
        <f>I26/Merge60_CSY!$AC$54</f>
        <v>586.66856819896168</v>
      </c>
      <c r="L26" s="24">
        <v>1999</v>
      </c>
      <c r="M26" s="5">
        <v>3493.6060000000002</v>
      </c>
      <c r="N26" s="58">
        <v>138.84</v>
      </c>
      <c r="Q26" s="24">
        <v>1973</v>
      </c>
      <c r="R26" s="46">
        <f t="shared" si="1"/>
        <v>60.799999999999955</v>
      </c>
      <c r="S26" s="46">
        <f t="shared" si="2"/>
        <v>577.40000000000009</v>
      </c>
      <c r="T26" s="86">
        <f t="shared" si="5"/>
        <v>720</v>
      </c>
      <c r="U26" s="46">
        <f t="shared" si="8"/>
        <v>1040</v>
      </c>
      <c r="V26" s="46">
        <f t="shared" si="8"/>
        <v>6542.5</v>
      </c>
      <c r="W26" s="86">
        <f t="shared" si="4"/>
        <v>7582.5</v>
      </c>
      <c r="Y26" s="24">
        <v>1973</v>
      </c>
      <c r="Z26" s="22">
        <v>590</v>
      </c>
      <c r="AA26" s="18">
        <v>515</v>
      </c>
      <c r="AB26" s="4">
        <v>4015.7</v>
      </c>
      <c r="AC26" s="18">
        <v>3038.4</v>
      </c>
      <c r="AD26" s="22">
        <v>186.1</v>
      </c>
      <c r="AE26" s="18">
        <v>135.30000000000001</v>
      </c>
      <c r="AF26" s="4">
        <v>917.1</v>
      </c>
      <c r="AG26" s="18">
        <v>850.5</v>
      </c>
      <c r="AH26" s="4">
        <v>1423.6</v>
      </c>
      <c r="AI26" s="18">
        <v>134</v>
      </c>
    </row>
    <row r="27" spans="1:35">
      <c r="A27" s="24">
        <v>1974</v>
      </c>
      <c r="B27" s="113">
        <f>Merge60_CSY!BF28</f>
        <v>75.686601850127474</v>
      </c>
      <c r="C27" s="91">
        <f t="shared" si="7"/>
        <v>424.87737791547488</v>
      </c>
      <c r="D27" s="91">
        <f>C27*F25</f>
        <v>54.741264203792099</v>
      </c>
      <c r="E27" s="92">
        <f t="shared" si="3"/>
        <v>370.13611371168281</v>
      </c>
      <c r="F27" s="6">
        <f>F26+(F$29-F$24)/5</f>
        <v>0.11220458477061751</v>
      </c>
      <c r="H27" s="24">
        <v>1975</v>
      </c>
      <c r="I27" s="5">
        <v>2305.7649999999999</v>
      </c>
      <c r="J27" s="58">
        <f>I27/Merge60_CSY!$AC$54</f>
        <v>643.79178667245333</v>
      </c>
      <c r="L27" s="24">
        <v>2000</v>
      </c>
      <c r="M27" s="5">
        <v>3567.51</v>
      </c>
      <c r="N27" s="58">
        <v>130.815</v>
      </c>
      <c r="Q27" s="24">
        <v>1974</v>
      </c>
      <c r="R27" s="46">
        <f t="shared" si="1"/>
        <v>71.400000000000091</v>
      </c>
      <c r="S27" s="46">
        <f t="shared" si="2"/>
        <v>625.79999999999995</v>
      </c>
      <c r="T27" s="86">
        <f t="shared" si="5"/>
        <v>720</v>
      </c>
      <c r="U27" s="46">
        <f t="shared" si="8"/>
        <v>1100.8</v>
      </c>
      <c r="V27" s="46">
        <f t="shared" si="8"/>
        <v>7119.9</v>
      </c>
      <c r="W27" s="86">
        <f t="shared" si="4"/>
        <v>8220.6999999999989</v>
      </c>
      <c r="Y27" s="24">
        <v>1974</v>
      </c>
      <c r="Z27" s="22">
        <v>650.79999999999995</v>
      </c>
      <c r="AA27" s="18">
        <v>563</v>
      </c>
      <c r="AB27" s="4">
        <v>4384.2</v>
      </c>
      <c r="AC27" s="18">
        <v>3334.9</v>
      </c>
      <c r="AD27" s="22">
        <v>204</v>
      </c>
      <c r="AE27" s="18">
        <v>148.6</v>
      </c>
      <c r="AF27" s="4">
        <v>1001.5</v>
      </c>
      <c r="AG27" s="18">
        <v>929.1</v>
      </c>
      <c r="AH27" s="4">
        <v>1530.2</v>
      </c>
      <c r="AI27" s="18">
        <v>146.9</v>
      </c>
    </row>
    <row r="28" spans="1:35">
      <c r="A28" s="24">
        <v>1975</v>
      </c>
      <c r="B28" s="113">
        <f>Merge60_CSY!BF29</f>
        <v>90.076481489076784</v>
      </c>
      <c r="C28" s="91">
        <f t="shared" si="7"/>
        <v>479.32011086982862</v>
      </c>
      <c r="D28" s="91">
        <f>C28*F26</f>
        <v>57.768793990636006</v>
      </c>
      <c r="E28" s="92">
        <f t="shared" si="3"/>
        <v>421.5513168791926</v>
      </c>
      <c r="F28" s="6">
        <f>F27+(F$29-F$24)/5</f>
        <v>0.1038868032132247</v>
      </c>
      <c r="H28" s="24">
        <v>1976</v>
      </c>
      <c r="I28" s="5">
        <v>2490.5740000000001</v>
      </c>
      <c r="J28" s="58">
        <f>I28/Merge60_CSY!$AC$54</f>
        <v>695.39223871468209</v>
      </c>
      <c r="L28" s="24">
        <v>2001</v>
      </c>
      <c r="M28" s="5">
        <v>3733.4760000000001</v>
      </c>
      <c r="N28" s="58">
        <v>129.87899999999999</v>
      </c>
      <c r="Q28" s="24">
        <v>1975</v>
      </c>
      <c r="R28" s="46">
        <f t="shared" si="1"/>
        <v>82.299999999999955</v>
      </c>
      <c r="S28" s="46">
        <f t="shared" si="2"/>
        <v>586.70000000000005</v>
      </c>
      <c r="T28" s="86">
        <f t="shared" si="5"/>
        <v>720</v>
      </c>
      <c r="U28" s="46">
        <f t="shared" si="8"/>
        <v>1172.2</v>
      </c>
      <c r="V28" s="46">
        <f t="shared" si="8"/>
        <v>7745.7</v>
      </c>
      <c r="W28" s="86">
        <f t="shared" si="4"/>
        <v>8917.9</v>
      </c>
      <c r="Y28" s="24">
        <v>1975</v>
      </c>
      <c r="Z28" s="22">
        <v>722.2</v>
      </c>
      <c r="AA28" s="18">
        <v>619.70000000000005</v>
      </c>
      <c r="AB28" s="4">
        <v>4805.3</v>
      </c>
      <c r="AC28" s="18">
        <v>3700.9</v>
      </c>
      <c r="AD28" s="22">
        <v>225.4</v>
      </c>
      <c r="AE28" s="18">
        <v>164.8</v>
      </c>
      <c r="AF28" s="4">
        <v>1092.7</v>
      </c>
      <c r="AG28" s="18">
        <v>1018.4</v>
      </c>
      <c r="AH28" s="4">
        <v>1622.3</v>
      </c>
      <c r="AI28" s="18">
        <v>163.19999999999999</v>
      </c>
    </row>
    <row r="29" spans="1:35">
      <c r="A29" s="24">
        <v>1976</v>
      </c>
      <c r="B29" s="113">
        <f>Merge60_CSY!BF30</f>
        <v>88.606145181391824</v>
      </c>
      <c r="C29" s="91">
        <f t="shared" si="7"/>
        <v>545.4305868154139</v>
      </c>
      <c r="D29" s="91">
        <f>C29*F27</f>
        <v>61.199812514817765</v>
      </c>
      <c r="E29" s="92">
        <f t="shared" si="3"/>
        <v>484.23077430059612</v>
      </c>
      <c r="F29" s="6">
        <f>D31/C31</f>
        <v>9.5569021655831907E-2</v>
      </c>
      <c r="H29" s="24">
        <v>1977</v>
      </c>
      <c r="I29" s="5">
        <v>2716.34</v>
      </c>
      <c r="J29" s="58">
        <f>I29/Merge60_CSY!$AC$54</f>
        <v>758.42827946900582</v>
      </c>
      <c r="L29" s="25">
        <v>2002</v>
      </c>
      <c r="M29" s="38">
        <v>3870.9659999999999</v>
      </c>
      <c r="N29" s="59">
        <v>128.435</v>
      </c>
      <c r="Q29" s="24">
        <v>1976</v>
      </c>
      <c r="R29" s="46">
        <f t="shared" si="1"/>
        <v>65.799999999999955</v>
      </c>
      <c r="S29" s="46">
        <f t="shared" si="2"/>
        <v>673.99999999999932</v>
      </c>
      <c r="T29" s="86">
        <f t="shared" si="5"/>
        <v>720</v>
      </c>
      <c r="U29" s="46">
        <f t="shared" si="8"/>
        <v>1254.5</v>
      </c>
      <c r="V29" s="46">
        <f t="shared" si="8"/>
        <v>8332.4</v>
      </c>
      <c r="W29" s="86">
        <f t="shared" si="4"/>
        <v>9586.9</v>
      </c>
      <c r="Y29" s="24">
        <v>1976</v>
      </c>
      <c r="Z29" s="22">
        <v>804.5</v>
      </c>
      <c r="AA29" s="18">
        <v>684.2</v>
      </c>
      <c r="AB29" s="4">
        <v>5239.1000000000004</v>
      </c>
      <c r="AC29" s="18">
        <v>4037.7</v>
      </c>
      <c r="AD29" s="22">
        <v>246.2</v>
      </c>
      <c r="AE29" s="18">
        <v>179.7</v>
      </c>
      <c r="AF29" s="4">
        <v>1185.3</v>
      </c>
      <c r="AG29" s="18">
        <v>1103.9000000000001</v>
      </c>
      <c r="AH29" s="4">
        <v>1661.8</v>
      </c>
      <c r="AI29" s="18">
        <v>178.3</v>
      </c>
    </row>
    <row r="30" spans="1:35">
      <c r="A30" s="24">
        <v>1977</v>
      </c>
      <c r="B30" s="113">
        <f>Merge60_CSY!BF31</f>
        <v>92.332710405578268</v>
      </c>
      <c r="C30" s="91">
        <f t="shared" si="7"/>
        <v>606.76520265603506</v>
      </c>
      <c r="D30" s="91">
        <f>C30*F28</f>
        <v>63.034897204959918</v>
      </c>
      <c r="E30" s="92">
        <f t="shared" si="3"/>
        <v>543.73030545107508</v>
      </c>
      <c r="H30" s="24">
        <v>1978</v>
      </c>
      <c r="I30" s="5">
        <v>2994.0770000000002</v>
      </c>
      <c r="J30" s="58">
        <f>I30/Merge60_CSY!$AC$54</f>
        <v>835.97512377232692</v>
      </c>
      <c r="Q30" s="24">
        <v>1977</v>
      </c>
      <c r="R30" s="46">
        <f t="shared" si="1"/>
        <v>137.60000000000002</v>
      </c>
      <c r="S30" s="46">
        <f t="shared" si="2"/>
        <v>828.00000000000023</v>
      </c>
      <c r="T30" s="86">
        <f t="shared" si="5"/>
        <v>720</v>
      </c>
      <c r="U30" s="46">
        <f t="shared" si="8"/>
        <v>1320.3</v>
      </c>
      <c r="V30" s="46">
        <f t="shared" si="8"/>
        <v>9006.4</v>
      </c>
      <c r="W30" s="86">
        <f t="shared" si="4"/>
        <v>10326.699999999999</v>
      </c>
      <c r="Y30" s="24">
        <v>1977</v>
      </c>
      <c r="Z30" s="22">
        <v>870.3</v>
      </c>
      <c r="AA30" s="18">
        <v>744.1</v>
      </c>
      <c r="AB30" s="4">
        <v>5661.4</v>
      </c>
      <c r="AC30" s="18">
        <v>4408.5</v>
      </c>
      <c r="AD30" s="22">
        <v>261.89999999999998</v>
      </c>
      <c r="AE30" s="18">
        <v>194.2</v>
      </c>
      <c r="AF30" s="4">
        <v>1263.3</v>
      </c>
      <c r="AG30" s="18">
        <v>1179</v>
      </c>
      <c r="AH30" s="4">
        <v>1819.8</v>
      </c>
      <c r="AI30" s="18">
        <v>194.3</v>
      </c>
    </row>
    <row r="31" spans="1:35">
      <c r="A31" s="24">
        <v>1978</v>
      </c>
      <c r="B31" s="113">
        <f>Merge60_CSY!BF32</f>
        <v>107.38999999999997</v>
      </c>
      <c r="C31" s="91">
        <f t="shared" si="7"/>
        <v>668.75965292881153</v>
      </c>
      <c r="D31" s="91">
        <f t="shared" ref="D31:D55" si="9">C31*N5/M5</f>
        <v>63.912705753300216</v>
      </c>
      <c r="E31" s="92">
        <f t="shared" si="3"/>
        <v>604.84694717551133</v>
      </c>
      <c r="H31" s="24">
        <v>1979</v>
      </c>
      <c r="I31" s="5">
        <v>3321.1909999999998</v>
      </c>
      <c r="J31" s="58">
        <f>I31/Merge60_CSY!$AC$54</f>
        <v>927.30850185100053</v>
      </c>
      <c r="Q31" s="24">
        <v>1978</v>
      </c>
      <c r="R31" s="46">
        <f t="shared" si="1"/>
        <v>93.199999999999932</v>
      </c>
      <c r="S31" s="46">
        <f t="shared" si="2"/>
        <v>822.50000000000068</v>
      </c>
      <c r="T31" s="86">
        <f t="shared" si="5"/>
        <v>720</v>
      </c>
      <c r="U31" s="46">
        <f t="shared" si="8"/>
        <v>1457.9</v>
      </c>
      <c r="V31" s="46">
        <f t="shared" si="8"/>
        <v>9834.4</v>
      </c>
      <c r="W31" s="86">
        <f t="shared" si="4"/>
        <v>11292.3</v>
      </c>
      <c r="Y31" s="24">
        <v>1978</v>
      </c>
      <c r="Z31" s="22">
        <v>1007.9</v>
      </c>
      <c r="AA31" s="18">
        <v>812.78</v>
      </c>
      <c r="AB31" s="4">
        <v>6158.5</v>
      </c>
      <c r="AC31" s="18">
        <v>4826.2</v>
      </c>
      <c r="AD31" s="22">
        <v>284.60000000000002</v>
      </c>
      <c r="AE31" s="18">
        <v>212</v>
      </c>
      <c r="AF31" s="4">
        <v>1383.6</v>
      </c>
      <c r="AG31" s="18">
        <v>1299</v>
      </c>
      <c r="AH31" s="4">
        <v>2007.7</v>
      </c>
      <c r="AI31" s="18">
        <v>213.6</v>
      </c>
    </row>
    <row r="32" spans="1:35">
      <c r="A32" s="24">
        <v>1979</v>
      </c>
      <c r="B32" s="113">
        <f>Merge60_CSY!BF33</f>
        <v>111.29900102378804</v>
      </c>
      <c r="C32" s="91">
        <f t="shared" si="7"/>
        <v>742.71167028237096</v>
      </c>
      <c r="D32" s="91">
        <f t="shared" si="9"/>
        <v>71.759126004923601</v>
      </c>
      <c r="E32" s="92">
        <f t="shared" ref="E32:E66" si="10">C32-D32</f>
        <v>670.95254427744737</v>
      </c>
      <c r="H32" s="24">
        <v>1980</v>
      </c>
      <c r="I32" s="5">
        <v>3665.913</v>
      </c>
      <c r="J32" s="58">
        <f>I32/Merge60_CSY!$AC$54</f>
        <v>1023.5582030500826</v>
      </c>
      <c r="Q32" s="24">
        <v>1979</v>
      </c>
      <c r="R32" s="46">
        <f t="shared" si="1"/>
        <v>64.300000000000182</v>
      </c>
      <c r="S32" s="46">
        <f t="shared" si="2"/>
        <v>805.39999999999918</v>
      </c>
      <c r="T32" s="86">
        <f t="shared" si="5"/>
        <v>720</v>
      </c>
      <c r="U32" s="46">
        <f t="shared" si="8"/>
        <v>1551.1</v>
      </c>
      <c r="V32" s="46">
        <f t="shared" si="8"/>
        <v>10656.9</v>
      </c>
      <c r="W32" s="86">
        <f t="shared" si="4"/>
        <v>12208</v>
      </c>
      <c r="Y32" s="24">
        <v>1979</v>
      </c>
      <c r="Z32" s="22">
        <v>1101.0999999999999</v>
      </c>
      <c r="AA32" s="18">
        <v>887.5</v>
      </c>
      <c r="AB32" s="4">
        <v>6680.1</v>
      </c>
      <c r="AC32" s="18">
        <v>5273.3</v>
      </c>
      <c r="AD32" s="22">
        <v>311.60000000000002</v>
      </c>
      <c r="AE32" s="18">
        <v>232.9</v>
      </c>
      <c r="AF32" s="4">
        <v>1464.9</v>
      </c>
      <c r="AG32" s="18">
        <v>1374.6</v>
      </c>
      <c r="AH32" s="4">
        <v>2200.3000000000002</v>
      </c>
      <c r="AI32" s="18">
        <v>236.8</v>
      </c>
    </row>
    <row r="33" spans="1:35">
      <c r="A33" s="24">
        <v>1980</v>
      </c>
      <c r="B33" s="99">
        <f>Merge60_CSY!AM34</f>
        <v>123.02153849936721</v>
      </c>
      <c r="C33" s="91">
        <f t="shared" si="7"/>
        <v>816.8750877920404</v>
      </c>
      <c r="D33" s="91">
        <f t="shared" si="9"/>
        <v>79.535435365204577</v>
      </c>
      <c r="E33" s="92">
        <f t="shared" si="10"/>
        <v>737.33965242683587</v>
      </c>
      <c r="H33" s="24">
        <v>1981</v>
      </c>
      <c r="I33" s="5">
        <v>3988.9989999999998</v>
      </c>
      <c r="J33" s="58">
        <f>I33/Merge60_CSY!$AC$54</f>
        <v>1113.7669247493261</v>
      </c>
      <c r="Q33" s="24">
        <v>1980</v>
      </c>
      <c r="R33" s="46">
        <f t="shared" si="1"/>
        <v>45.5</v>
      </c>
      <c r="S33" s="46">
        <f t="shared" si="2"/>
        <v>812.00000000000045</v>
      </c>
      <c r="T33" s="86">
        <f t="shared" si="5"/>
        <v>720</v>
      </c>
      <c r="U33" s="46">
        <f t="shared" si="8"/>
        <v>1615.4</v>
      </c>
      <c r="V33" s="46">
        <f t="shared" si="8"/>
        <v>11462.3</v>
      </c>
      <c r="W33" s="86">
        <f t="shared" si="4"/>
        <v>13077.699999999999</v>
      </c>
      <c r="Y33" s="24">
        <v>1980</v>
      </c>
      <c r="Z33" s="22">
        <v>1165.4000000000001</v>
      </c>
      <c r="AA33" s="18">
        <v>953.3</v>
      </c>
      <c r="AB33" s="4">
        <v>7126</v>
      </c>
      <c r="AC33" s="18">
        <v>5674.2</v>
      </c>
      <c r="AD33" s="22">
        <v>351</v>
      </c>
      <c r="AE33" s="18">
        <v>251.2</v>
      </c>
      <c r="AF33" s="4">
        <v>1551.1</v>
      </c>
      <c r="AG33" s="18">
        <v>1466.7</v>
      </c>
      <c r="AH33" s="4">
        <v>2434.1999999999998</v>
      </c>
      <c r="AI33" s="18">
        <v>268.5</v>
      </c>
    </row>
    <row r="34" spans="1:35">
      <c r="A34" s="24">
        <v>1981</v>
      </c>
      <c r="B34" s="99">
        <f>Merge60_CSY!AM35</f>
        <v>121.8529032700157</v>
      </c>
      <c r="C34" s="91">
        <f t="shared" si="7"/>
        <v>899.05287190180559</v>
      </c>
      <c r="D34" s="91">
        <f t="shared" si="9"/>
        <v>86.446459353249807</v>
      </c>
      <c r="E34" s="92">
        <f t="shared" si="10"/>
        <v>812.6064125485558</v>
      </c>
      <c r="H34" s="24">
        <v>1982</v>
      </c>
      <c r="I34" s="5">
        <v>4343.3500000000004</v>
      </c>
      <c r="J34" s="58">
        <f>I34/Merge60_CSY!$AC$54</f>
        <v>1212.7051354512714</v>
      </c>
      <c r="Q34" s="24">
        <v>1981</v>
      </c>
      <c r="R34" s="46">
        <f t="shared" si="1"/>
        <v>68.799999999999955</v>
      </c>
      <c r="S34" s="46">
        <f t="shared" si="2"/>
        <v>857.39999999999918</v>
      </c>
      <c r="T34" s="86">
        <f t="shared" si="5"/>
        <v>720</v>
      </c>
      <c r="U34" s="46">
        <f t="shared" si="8"/>
        <v>1660.9</v>
      </c>
      <c r="V34" s="46">
        <f t="shared" si="8"/>
        <v>12274.3</v>
      </c>
      <c r="W34" s="86">
        <f t="shared" si="4"/>
        <v>13935.199999999999</v>
      </c>
      <c r="Y34" s="24">
        <v>1981</v>
      </c>
      <c r="Z34" s="22">
        <v>1210.9000000000001</v>
      </c>
      <c r="AA34" s="18">
        <v>998.7</v>
      </c>
      <c r="AB34" s="4">
        <v>7587.3</v>
      </c>
      <c r="AC34" s="18">
        <v>6025.4</v>
      </c>
      <c r="AD34" s="22">
        <v>383.2</v>
      </c>
      <c r="AE34" s="18">
        <v>267.10000000000002</v>
      </c>
      <c r="AF34" s="4">
        <v>1597.5</v>
      </c>
      <c r="AG34" s="18">
        <v>1515.7</v>
      </c>
      <c r="AH34" s="4">
        <v>2706.3</v>
      </c>
      <c r="AI34" s="18">
        <v>299.60000000000002</v>
      </c>
    </row>
    <row r="35" spans="1:35">
      <c r="A35" s="24">
        <v>1982</v>
      </c>
      <c r="B35" s="99">
        <f>Merge60_CSY!AM36</f>
        <v>137.05351882287167</v>
      </c>
      <c r="C35" s="91">
        <f t="shared" si="7"/>
        <v>975.95313157673104</v>
      </c>
      <c r="D35" s="91">
        <f t="shared" si="9"/>
        <v>95.245421794679388</v>
      </c>
      <c r="E35" s="92">
        <f t="shared" si="10"/>
        <v>880.70770978205167</v>
      </c>
      <c r="H35" s="24">
        <v>1983</v>
      </c>
      <c r="I35" s="5">
        <v>4752.3209999999999</v>
      </c>
      <c r="J35" s="58">
        <f>I35/Merge60_CSY!$AC$54</f>
        <v>1326.8937760053693</v>
      </c>
      <c r="Q35" s="24">
        <v>1982</v>
      </c>
      <c r="R35" s="46">
        <f t="shared" si="1"/>
        <v>87.299999999999955</v>
      </c>
      <c r="S35" s="46">
        <f t="shared" si="2"/>
        <v>924.00000000000045</v>
      </c>
      <c r="T35" s="86">
        <f t="shared" si="5"/>
        <v>720</v>
      </c>
      <c r="U35" s="46">
        <f t="shared" si="8"/>
        <v>1729.7</v>
      </c>
      <c r="V35" s="46">
        <f t="shared" si="8"/>
        <v>13131.699999999999</v>
      </c>
      <c r="W35" s="86">
        <f t="shared" si="4"/>
        <v>14861.4</v>
      </c>
      <c r="Y35" s="24">
        <v>1982</v>
      </c>
      <c r="Z35" s="22">
        <v>1279.7</v>
      </c>
      <c r="AA35" s="18">
        <v>1054</v>
      </c>
      <c r="AB35" s="4">
        <v>8060.4</v>
      </c>
      <c r="AC35" s="18">
        <v>6418.4</v>
      </c>
      <c r="AD35" s="22">
        <v>414.4</v>
      </c>
      <c r="AE35" s="18">
        <v>287.10000000000002</v>
      </c>
      <c r="AF35" s="4">
        <v>1686.8</v>
      </c>
      <c r="AG35" s="18">
        <v>1609.1</v>
      </c>
      <c r="AH35" s="4">
        <v>2970.1</v>
      </c>
      <c r="AI35" s="18">
        <v>346.7</v>
      </c>
    </row>
    <row r="36" spans="1:35">
      <c r="A36" s="24">
        <v>1983</v>
      </c>
      <c r="B36" s="99">
        <f>Merge60_CSY!AM37</f>
        <v>155.49891006066778</v>
      </c>
      <c r="C36" s="91">
        <f t="shared" si="7"/>
        <v>1064.2089938207662</v>
      </c>
      <c r="D36" s="91">
        <f t="shared" si="9"/>
        <v>103.19202022649507</v>
      </c>
      <c r="E36" s="92">
        <f t="shared" si="10"/>
        <v>961.01697359427112</v>
      </c>
      <c r="H36" s="24">
        <v>1984</v>
      </c>
      <c r="I36" s="5">
        <v>5231.9570000000003</v>
      </c>
      <c r="J36" s="58">
        <f>I36/Merge60_CSY!$AC$54</f>
        <v>1460.8127648843008</v>
      </c>
      <c r="Q36" s="24">
        <v>1983</v>
      </c>
      <c r="R36" s="46">
        <f t="shared" si="1"/>
        <v>68.099999999999909</v>
      </c>
      <c r="S36" s="46">
        <f t="shared" si="2"/>
        <v>1071.5</v>
      </c>
      <c r="T36" s="86">
        <f t="shared" si="5"/>
        <v>720</v>
      </c>
      <c r="U36" s="46">
        <f t="shared" si="8"/>
        <v>1817</v>
      </c>
      <c r="V36" s="46">
        <f t="shared" si="8"/>
        <v>14055.699999999999</v>
      </c>
      <c r="W36" s="86">
        <f t="shared" si="4"/>
        <v>15872.699999999999</v>
      </c>
      <c r="Y36" s="24">
        <v>1983</v>
      </c>
      <c r="Z36" s="22">
        <v>1367</v>
      </c>
      <c r="AA36" s="18">
        <v>1134.9000000000001</v>
      </c>
      <c r="AB36" s="4">
        <v>8614.4</v>
      </c>
      <c r="AC36" s="18">
        <v>6860.3</v>
      </c>
      <c r="AD36" s="22">
        <v>451.7</v>
      </c>
      <c r="AE36" s="18">
        <v>309.5</v>
      </c>
      <c r="AF36" s="4">
        <v>1796.1</v>
      </c>
      <c r="AG36" s="18">
        <v>1714.1</v>
      </c>
      <c r="AH36" s="4">
        <v>3193.5</v>
      </c>
      <c r="AI36" s="18">
        <v>390.8</v>
      </c>
    </row>
    <row r="37" spans="1:35">
      <c r="A37" s="24">
        <v>1984</v>
      </c>
      <c r="B37" s="99">
        <f>Merge60_CSY!AM38</f>
        <v>184.57892614121306</v>
      </c>
      <c r="C37" s="91">
        <f t="shared" si="7"/>
        <v>1166.4974541903957</v>
      </c>
      <c r="D37" s="91">
        <f t="shared" si="9"/>
        <v>103.53175944540965</v>
      </c>
      <c r="E37" s="92">
        <f t="shared" si="10"/>
        <v>1062.9656947449862</v>
      </c>
      <c r="H37" s="24">
        <v>1985</v>
      </c>
      <c r="I37" s="5">
        <v>5756.3159999999998</v>
      </c>
      <c r="J37" s="58">
        <f>I37/Merge60_CSY!$AC$54</f>
        <v>1607.2188459323609</v>
      </c>
      <c r="Q37" s="25">
        <v>1984</v>
      </c>
      <c r="R37" s="87">
        <f t="shared" si="1"/>
        <v>143.5</v>
      </c>
      <c r="S37" s="87">
        <f t="shared" si="2"/>
        <v>1252.9000000000001</v>
      </c>
      <c r="T37" s="88">
        <f t="shared" si="5"/>
        <v>720</v>
      </c>
      <c r="U37" s="87">
        <f t="shared" si="8"/>
        <v>1885.1</v>
      </c>
      <c r="V37" s="87">
        <f t="shared" si="8"/>
        <v>15127.199999999999</v>
      </c>
      <c r="W37" s="88">
        <f t="shared" si="4"/>
        <v>17012.3</v>
      </c>
      <c r="Y37" s="24">
        <v>1984</v>
      </c>
      <c r="Z37" s="22">
        <v>1435.1</v>
      </c>
      <c r="AA37" s="18">
        <v>1210.3</v>
      </c>
      <c r="AB37" s="4">
        <v>9391.4</v>
      </c>
      <c r="AC37" s="18">
        <v>7406.8</v>
      </c>
      <c r="AD37" s="22">
        <v>520.5</v>
      </c>
      <c r="AE37" s="18">
        <v>350.3</v>
      </c>
      <c r="AF37" s="4">
        <v>1957.4</v>
      </c>
      <c r="AG37" s="18">
        <v>1867.1</v>
      </c>
      <c r="AH37" s="4">
        <v>3257.9</v>
      </c>
      <c r="AI37" s="18">
        <v>444.6</v>
      </c>
    </row>
    <row r="38" spans="1:35">
      <c r="A38" s="24">
        <v>1985</v>
      </c>
      <c r="B38" s="99">
        <f>Merge60_CSY!AM39</f>
        <v>208.37961702357001</v>
      </c>
      <c r="C38" s="91">
        <f t="shared" si="7"/>
        <v>1292.7515076220889</v>
      </c>
      <c r="D38" s="91">
        <f t="shared" si="9"/>
        <v>108.52309341205118</v>
      </c>
      <c r="E38" s="92">
        <f t="shared" si="10"/>
        <v>1184.2284142100377</v>
      </c>
      <c r="H38" s="24">
        <v>1986</v>
      </c>
      <c r="I38" s="5">
        <v>6404.1170000000002</v>
      </c>
      <c r="J38" s="58">
        <f>I38/Merge60_CSY!$AC$54</f>
        <v>1788.091121813989</v>
      </c>
      <c r="Y38" s="25">
        <v>1985</v>
      </c>
      <c r="Z38" s="23">
        <v>1578.6</v>
      </c>
      <c r="AA38" s="21">
        <v>1291.5999999999999</v>
      </c>
      <c r="AB38" s="20">
        <v>10514</v>
      </c>
      <c r="AC38" s="21">
        <v>8079.4</v>
      </c>
      <c r="AD38" s="23">
        <v>606.9</v>
      </c>
      <c r="AE38" s="21">
        <v>385.1</v>
      </c>
      <c r="AF38" s="20">
        <v>2205.6999999999998</v>
      </c>
      <c r="AG38" s="21">
        <v>2085.4</v>
      </c>
      <c r="AH38" s="20">
        <v>3053.5</v>
      </c>
      <c r="AI38" s="21">
        <v>524.29999999999995</v>
      </c>
    </row>
    <row r="39" spans="1:35">
      <c r="A39" s="24">
        <v>1986</v>
      </c>
      <c r="B39" s="99">
        <f>Merge60_CSY!AM40</f>
        <v>233.85527517648805</v>
      </c>
      <c r="C39" s="91">
        <f t="shared" si="7"/>
        <v>1436.4935492645545</v>
      </c>
      <c r="D39" s="91">
        <f t="shared" si="9"/>
        <v>115.20078939691406</v>
      </c>
      <c r="E39" s="92">
        <f t="shared" si="10"/>
        <v>1321.2927598676404</v>
      </c>
      <c r="H39" s="24">
        <v>1987</v>
      </c>
      <c r="I39" s="5">
        <v>7127.625</v>
      </c>
      <c r="J39" s="58">
        <f>I39/Merge60_CSY!$AC$54</f>
        <v>1990.1015209621301</v>
      </c>
    </row>
    <row r="40" spans="1:35">
      <c r="A40" s="24">
        <v>1987</v>
      </c>
      <c r="B40" s="99">
        <f>Merge60_CSY!AM41</f>
        <v>269.02029612384666</v>
      </c>
      <c r="C40" s="91">
        <f t="shared" si="7"/>
        <v>1598.5241469778148</v>
      </c>
      <c r="D40" s="91">
        <f t="shared" si="9"/>
        <v>128.62471586831387</v>
      </c>
      <c r="E40" s="92">
        <f t="shared" si="10"/>
        <v>1469.8994311095009</v>
      </c>
      <c r="H40" s="24">
        <v>1988</v>
      </c>
      <c r="I40" s="5">
        <v>7897.5940000000001</v>
      </c>
      <c r="J40" s="58">
        <f>I40/Merge60_CSY!$AC$54</f>
        <v>2205.0842786119351</v>
      </c>
    </row>
    <row r="41" spans="1:35">
      <c r="A41" s="24">
        <v>1988</v>
      </c>
      <c r="B41" s="99">
        <f>Merge60_CSY!AM42</f>
        <v>297.03725377205438</v>
      </c>
      <c r="C41" s="91">
        <f t="shared" si="7"/>
        <v>1787.6182357527707</v>
      </c>
      <c r="D41" s="91">
        <f t="shared" si="9"/>
        <v>137.85865335842814</v>
      </c>
      <c r="E41" s="92">
        <f t="shared" si="10"/>
        <v>1649.7595823943425</v>
      </c>
      <c r="H41" s="24">
        <v>1989</v>
      </c>
      <c r="I41" s="5">
        <v>8593.4719999999998</v>
      </c>
      <c r="J41" s="58">
        <f>I41/Merge60_CSY!$AC$54</f>
        <v>2399.3801157532107</v>
      </c>
    </row>
    <row r="42" spans="1:35">
      <c r="A42" s="24">
        <v>1989</v>
      </c>
      <c r="B42" s="99">
        <f>Merge60_CSY!AM43</f>
        <v>257.20222690010394</v>
      </c>
      <c r="C42" s="91">
        <f t="shared" si="7"/>
        <v>1995.2745777371865</v>
      </c>
      <c r="D42" s="91">
        <f t="shared" si="9"/>
        <v>146.87595812348076</v>
      </c>
      <c r="E42" s="92">
        <f t="shared" si="10"/>
        <v>1848.3986196137057</v>
      </c>
      <c r="H42" s="24">
        <v>1990</v>
      </c>
      <c r="I42" s="5">
        <v>9316.8340000000007</v>
      </c>
      <c r="J42" s="58">
        <f>I42/Merge60_CSY!$AC$54</f>
        <v>2601.3497502957421</v>
      </c>
    </row>
    <row r="43" spans="1:35">
      <c r="A43" s="24">
        <v>1990</v>
      </c>
      <c r="B43" s="99">
        <f>Merge60_CSY!AM44</f>
        <v>265.57077458978193</v>
      </c>
      <c r="C43" s="91">
        <f t="shared" si="7"/>
        <v>2152.713075750431</v>
      </c>
      <c r="D43" s="91">
        <f t="shared" si="9"/>
        <v>145.0326119115781</v>
      </c>
      <c r="E43" s="92">
        <f t="shared" si="10"/>
        <v>2007.680463838853</v>
      </c>
      <c r="H43" s="24">
        <v>1991</v>
      </c>
      <c r="I43" s="5">
        <v>10088.212</v>
      </c>
      <c r="J43" s="58">
        <f>I43/Merge60_CSY!$AC$54</f>
        <v>2816.7259143106448</v>
      </c>
    </row>
    <row r="44" spans="1:35">
      <c r="A44" s="24">
        <v>1991</v>
      </c>
      <c r="B44" s="99">
        <f>Merge60_CSY!AM45</f>
        <v>312.45387300629812</v>
      </c>
      <c r="C44" s="91">
        <f t="shared" si="7"/>
        <v>2310.6481965526914</v>
      </c>
      <c r="D44" s="91">
        <f t="shared" si="9"/>
        <v>141.79503107409647</v>
      </c>
      <c r="E44" s="92">
        <f t="shared" si="10"/>
        <v>2168.8531654785947</v>
      </c>
      <c r="H44" s="24">
        <v>1992</v>
      </c>
      <c r="I44" s="5">
        <v>10955.775</v>
      </c>
      <c r="J44" s="58">
        <f>I44/Merge60_CSY!$AC$54</f>
        <v>3058.9578563432951</v>
      </c>
    </row>
    <row r="45" spans="1:35">
      <c r="A45" s="24">
        <v>1992</v>
      </c>
      <c r="B45" s="99">
        <f>Merge60_CSY!AM46</f>
        <v>405.01547373026563</v>
      </c>
      <c r="C45" s="91">
        <f t="shared" si="7"/>
        <v>2507.5696597313549</v>
      </c>
      <c r="D45" s="91">
        <f t="shared" si="9"/>
        <v>144.04727238534915</v>
      </c>
      <c r="E45" s="92">
        <f t="shared" si="10"/>
        <v>2363.5223873460059</v>
      </c>
      <c r="H45" s="24">
        <v>1993</v>
      </c>
      <c r="I45" s="5">
        <v>11927.107</v>
      </c>
      <c r="J45" s="58">
        <f>I45/Merge60_CSY!$AC$54</f>
        <v>3330.1631022083889</v>
      </c>
    </row>
    <row r="46" spans="1:35">
      <c r="A46" s="24">
        <v>1993</v>
      </c>
      <c r="B46" s="99">
        <f>Merge60_CSY!AM47</f>
        <v>549.81092475779167</v>
      </c>
      <c r="C46" s="91">
        <f t="shared" si="7"/>
        <v>2787.2066504750528</v>
      </c>
      <c r="D46" s="91">
        <f t="shared" si="9"/>
        <v>155.76014024753047</v>
      </c>
      <c r="E46" s="92">
        <f t="shared" si="10"/>
        <v>2631.4465102275221</v>
      </c>
      <c r="H46" s="24">
        <v>1994</v>
      </c>
      <c r="I46" s="5">
        <v>13055.096</v>
      </c>
      <c r="J46" s="58">
        <f>I46/Merge60_CSY!$AC$54</f>
        <v>3645.1084906833089</v>
      </c>
    </row>
    <row r="47" spans="1:35">
      <c r="A47" s="24">
        <v>1994</v>
      </c>
      <c r="B47" s="99">
        <f>Merge60_CSY!AM48</f>
        <v>592.89636972838673</v>
      </c>
      <c r="C47" s="91">
        <f t="shared" si="7"/>
        <v>3197.6572427090919</v>
      </c>
      <c r="D47" s="91">
        <f t="shared" si="9"/>
        <v>176.5899530066124</v>
      </c>
      <c r="E47" s="92">
        <f t="shared" si="10"/>
        <v>3021.0672897024797</v>
      </c>
      <c r="H47" s="24">
        <v>1995</v>
      </c>
      <c r="I47" s="5">
        <v>14406.24</v>
      </c>
      <c r="J47" s="58">
        <f>I47/Merge60_CSY!$AC$54</f>
        <v>4022.3609035752406</v>
      </c>
    </row>
    <row r="48" spans="1:35">
      <c r="A48" s="24">
        <v>1995</v>
      </c>
      <c r="B48" s="99">
        <f>Merge60_CSY!AM49</f>
        <v>628.99438243130658</v>
      </c>
      <c r="C48" s="91">
        <f t="shared" si="7"/>
        <v>3630.6707503020239</v>
      </c>
      <c r="D48" s="91">
        <f t="shared" si="9"/>
        <v>194.55208712104616</v>
      </c>
      <c r="E48" s="92">
        <f t="shared" si="10"/>
        <v>3436.1186631809778</v>
      </c>
      <c r="H48" s="24">
        <v>1996</v>
      </c>
      <c r="I48" s="5">
        <v>16078.45</v>
      </c>
      <c r="J48" s="58">
        <f>I48/Merge60_CSY!$AC$54</f>
        <v>4489.2580347189369</v>
      </c>
    </row>
    <row r="49" spans="1:15">
      <c r="A49" s="24">
        <v>1996</v>
      </c>
      <c r="B49" s="99">
        <f>Merge60_CSY!AM50</f>
        <v>680.52014986923245</v>
      </c>
      <c r="C49" s="91">
        <f t="shared" si="7"/>
        <v>4078.1315952182294</v>
      </c>
      <c r="D49" s="91">
        <f t="shared" si="9"/>
        <v>207.03687408993545</v>
      </c>
      <c r="E49" s="92">
        <f t="shared" si="10"/>
        <v>3871.0947211282942</v>
      </c>
      <c r="H49" s="24">
        <v>1997</v>
      </c>
      <c r="I49" s="5">
        <v>17888.357</v>
      </c>
      <c r="J49" s="58">
        <f>I49/Merge60_CSY!$AC$54</f>
        <v>4994.6014939357174</v>
      </c>
    </row>
    <row r="50" spans="1:15">
      <c r="A50" s="24">
        <v>1997</v>
      </c>
      <c r="B50" s="99">
        <f>Merge60_CSY!AM51</f>
        <v>723.79450459964437</v>
      </c>
      <c r="C50" s="91">
        <f t="shared" si="7"/>
        <v>4554.7451653265507</v>
      </c>
      <c r="D50" s="91">
        <f t="shared" si="9"/>
        <v>215.68784429733839</v>
      </c>
      <c r="E50" s="92">
        <f t="shared" si="10"/>
        <v>4339.0573210292123</v>
      </c>
      <c r="H50" s="24">
        <v>1998</v>
      </c>
      <c r="I50" s="5">
        <v>19783.739000000001</v>
      </c>
      <c r="J50" s="58">
        <f>I50/Merge60_CSY!$AC$54</f>
        <v>5523.810396060092</v>
      </c>
    </row>
    <row r="51" spans="1:15">
      <c r="A51" s="24">
        <v>1998</v>
      </c>
      <c r="B51" s="99">
        <f>Merge60_CSY!AM52</f>
        <v>803.52562172977878</v>
      </c>
      <c r="C51" s="91">
        <f t="shared" si="7"/>
        <v>5050.8024116598681</v>
      </c>
      <c r="D51" s="91">
        <f t="shared" si="9"/>
        <v>218.0273744784096</v>
      </c>
      <c r="E51" s="92">
        <f t="shared" si="10"/>
        <v>4832.7750371814582</v>
      </c>
      <c r="H51" s="24">
        <v>1999</v>
      </c>
      <c r="I51" s="5">
        <v>21883.415000000001</v>
      </c>
      <c r="J51" s="58">
        <f>I51/Merge60_CSY!$AC$54</f>
        <v>6110.0601498178557</v>
      </c>
    </row>
    <row r="52" spans="1:15">
      <c r="A52" s="24">
        <v>1999</v>
      </c>
      <c r="B52" s="99">
        <f>Merge60_CSY!AM53</f>
        <v>869.67753327751677</v>
      </c>
      <c r="C52" s="91">
        <f t="shared" si="7"/>
        <v>5601.7879128066525</v>
      </c>
      <c r="D52" s="91">
        <f t="shared" si="9"/>
        <v>222.62162184690419</v>
      </c>
      <c r="E52" s="92">
        <f t="shared" si="10"/>
        <v>5379.166290959748</v>
      </c>
      <c r="H52" s="24">
        <v>2000</v>
      </c>
      <c r="I52" s="5">
        <v>24145.503000000001</v>
      </c>
      <c r="J52" s="58">
        <f>I52/Merge60_CSY!$AC$54</f>
        <v>6741.6568975915088</v>
      </c>
    </row>
    <row r="53" spans="1:15">
      <c r="A53" s="24">
        <v>2000</v>
      </c>
      <c r="B53" s="99">
        <f>Merge60_CSY!AM54</f>
        <v>944.96823157855124</v>
      </c>
      <c r="C53" s="91">
        <f t="shared" si="7"/>
        <v>6191.3760504438369</v>
      </c>
      <c r="D53" s="91">
        <f t="shared" si="9"/>
        <v>227.02805543328833</v>
      </c>
      <c r="E53" s="92">
        <f t="shared" si="10"/>
        <v>5964.3479950105484</v>
      </c>
      <c r="H53" s="24">
        <v>2001</v>
      </c>
      <c r="I53" s="5">
        <v>26482.972000000002</v>
      </c>
      <c r="J53" s="58">
        <f>I53/Merge60_CSY!$AC$54</f>
        <v>7394.3007462931209</v>
      </c>
      <c r="L53" t="s">
        <v>196</v>
      </c>
    </row>
    <row r="54" spans="1:15">
      <c r="A54" s="24">
        <v>2001</v>
      </c>
      <c r="B54" s="99">
        <f>Merge60_CSY!AM55</f>
        <v>1032.9400427083826</v>
      </c>
      <c r="C54" s="91">
        <f t="shared" si="7"/>
        <v>6826.7754795001956</v>
      </c>
      <c r="D54" s="91">
        <f t="shared" si="9"/>
        <v>237.48773863873927</v>
      </c>
      <c r="E54" s="92">
        <f t="shared" si="10"/>
        <v>6589.2877408614568</v>
      </c>
      <c r="H54" s="24">
        <v>2002</v>
      </c>
      <c r="I54" s="5">
        <v>29090.414000000001</v>
      </c>
      <c r="J54" s="58">
        <f>I54/Merge60_CSY!$AC$54</f>
        <v>8122.3236557504133</v>
      </c>
      <c r="L54" s="130" t="s">
        <v>194</v>
      </c>
      <c r="M54" s="131"/>
      <c r="N54" s="131"/>
      <c r="O54" s="132"/>
    </row>
    <row r="55" spans="1:15">
      <c r="A55" s="24">
        <v>2002</v>
      </c>
      <c r="B55" s="99">
        <f>Merge60_CSY!AM56</f>
        <v>1186.6191725370968</v>
      </c>
      <c r="C55" s="91">
        <f t="shared" si="7"/>
        <v>7518.3767482335688</v>
      </c>
      <c r="D55" s="91">
        <f t="shared" si="9"/>
        <v>249.45264764903087</v>
      </c>
      <c r="E55" s="92">
        <f t="shared" si="10"/>
        <v>7268.9241005845379</v>
      </c>
      <c r="H55" s="24">
        <v>2003</v>
      </c>
      <c r="I55" s="5">
        <v>31944.731</v>
      </c>
      <c r="J55" s="58">
        <f>I55/Merge60_CSY!$AC$54</f>
        <v>8919.2764419881951</v>
      </c>
      <c r="L55" s="47" t="s">
        <v>0</v>
      </c>
      <c r="M55" s="51" t="s">
        <v>7</v>
      </c>
      <c r="N55" s="51" t="s">
        <v>64</v>
      </c>
      <c r="O55" s="53" t="s">
        <v>195</v>
      </c>
    </row>
    <row r="56" spans="1:15">
      <c r="A56" s="24">
        <v>2003</v>
      </c>
      <c r="B56" s="99">
        <f>Merge60_CSY!AM57</f>
        <v>1418.036737429602</v>
      </c>
      <c r="C56" s="91">
        <f t="shared" si="7"/>
        <v>8329.0770833589868</v>
      </c>
      <c r="D56" s="91">
        <f>D55*0.95+B55*0.031</f>
        <v>273.76520961522931</v>
      </c>
      <c r="E56" s="92">
        <f t="shared" si="10"/>
        <v>8055.3118737437571</v>
      </c>
      <c r="H56" s="24">
        <v>2004</v>
      </c>
      <c r="I56" s="5">
        <v>35269.063999999998</v>
      </c>
      <c r="J56" s="58">
        <f>I56/Merge60_CSY!$AC$54</f>
        <v>9847.4622204886909</v>
      </c>
      <c r="L56" s="96" t="s">
        <v>188</v>
      </c>
      <c r="M56" s="91">
        <v>55566.61</v>
      </c>
      <c r="N56" s="91">
        <v>1652.3</v>
      </c>
      <c r="O56" s="89">
        <f t="shared" ref="O56:O65" si="11">N56/M56</f>
        <v>2.9735483233546189E-2</v>
      </c>
    </row>
    <row r="57" spans="1:15">
      <c r="A57" s="24">
        <v>2004</v>
      </c>
      <c r="B57" s="99">
        <f>Merge60_CSY!AM58</f>
        <v>1614.4309399179042</v>
      </c>
      <c r="C57" s="91">
        <f t="shared" si="7"/>
        <v>9330.6599666206384</v>
      </c>
      <c r="D57" s="91">
        <f t="shared" ref="D57:D66" si="12">D56*0.95+B56*O56</f>
        <v>302.24295676485832</v>
      </c>
      <c r="E57" s="92">
        <f t="shared" si="10"/>
        <v>9028.4170098557806</v>
      </c>
      <c r="H57" s="25">
        <v>2005</v>
      </c>
      <c r="I57" s="38">
        <v>38933.406999999999</v>
      </c>
      <c r="J57" s="59">
        <f>I57/Merge60_CSY!$AC$54</f>
        <v>10870.582064423654</v>
      </c>
      <c r="L57" s="96" t="s">
        <v>189</v>
      </c>
      <c r="M57" s="91">
        <v>70477.429999999993</v>
      </c>
      <c r="N57" s="91">
        <v>1890.7</v>
      </c>
      <c r="O57" s="89">
        <f t="shared" si="11"/>
        <v>2.682702817057887E-2</v>
      </c>
    </row>
    <row r="58" spans="1:15">
      <c r="A58" s="24">
        <v>2005</v>
      </c>
      <c r="B58" s="99">
        <f>Merge60_CSY!AM59</f>
        <v>1770.9900317851407</v>
      </c>
      <c r="C58" s="91">
        <f t="shared" si="7"/>
        <v>10478.557908207509</v>
      </c>
      <c r="D58" s="91">
        <f t="shared" si="12"/>
        <v>330.4411932312471</v>
      </c>
      <c r="E58" s="92">
        <f t="shared" si="10"/>
        <v>10148.116714976262</v>
      </c>
      <c r="L58" s="96" t="s">
        <v>190</v>
      </c>
      <c r="M58" s="91">
        <v>88773.612899999993</v>
      </c>
      <c r="N58" s="91">
        <v>2323.6626000000001</v>
      </c>
      <c r="O58" s="89">
        <f t="shared" si="11"/>
        <v>2.6175149620389058E-2</v>
      </c>
    </row>
    <row r="59" spans="1:15">
      <c r="A59" s="24">
        <v>2006</v>
      </c>
      <c r="B59" s="99">
        <f>Merge60_CSY!AM60</f>
        <v>2021.3822611076728</v>
      </c>
      <c r="C59" s="91">
        <f t="shared" si="7"/>
        <v>11725.620044582274</v>
      </c>
      <c r="D59" s="91">
        <f t="shared" si="12"/>
        <v>360.27506262787836</v>
      </c>
      <c r="E59" s="92">
        <f t="shared" si="10"/>
        <v>11365.344981954397</v>
      </c>
      <c r="L59" s="96" t="s">
        <v>191</v>
      </c>
      <c r="M59" s="91">
        <v>109998.1624</v>
      </c>
      <c r="N59" s="91">
        <v>2749.9378000000002</v>
      </c>
      <c r="O59" s="89">
        <f t="shared" si="11"/>
        <v>2.4999852179348771E-2</v>
      </c>
    </row>
    <row r="60" spans="1:15">
      <c r="A60" s="24">
        <v>2007</v>
      </c>
      <c r="B60" s="99">
        <f>Merge60_CSY!AM61</f>
        <v>2219.4621604072004</v>
      </c>
      <c r="C60" s="91">
        <f t="shared" si="7"/>
        <v>13160.721303460832</v>
      </c>
      <c r="D60" s="91">
        <f t="shared" si="12"/>
        <v>392.79556722213403</v>
      </c>
      <c r="E60" s="92">
        <f t="shared" si="10"/>
        <v>12767.925736238698</v>
      </c>
      <c r="L60" s="96" t="s">
        <v>192</v>
      </c>
      <c r="M60" s="91">
        <v>137323.9381</v>
      </c>
      <c r="N60" s="91">
        <v>3403.5035000000003</v>
      </c>
      <c r="O60" s="89">
        <f t="shared" si="11"/>
        <v>2.4784488029476342E-2</v>
      </c>
    </row>
    <row r="61" spans="1:15">
      <c r="A61" s="24">
        <v>2008</v>
      </c>
      <c r="B61" s="99">
        <f>Merge60_CSY!AM62</f>
        <v>2537.7719142115493</v>
      </c>
      <c r="C61" s="91">
        <f t="shared" si="7"/>
        <v>14722.14739869499</v>
      </c>
      <c r="D61" s="91">
        <f t="shared" si="12"/>
        <v>428.16402220751525</v>
      </c>
      <c r="E61" s="92">
        <f t="shared" si="10"/>
        <v>14293.983376487475</v>
      </c>
      <c r="L61" s="96" t="s">
        <v>193</v>
      </c>
      <c r="M61" s="91">
        <v>172828.39980000001</v>
      </c>
      <c r="N61" s="91">
        <v>5064.4534999999996</v>
      </c>
      <c r="O61" s="89">
        <f t="shared" si="11"/>
        <v>2.9303363948637331E-2</v>
      </c>
    </row>
    <row r="62" spans="1:15">
      <c r="A62" s="24">
        <v>2009</v>
      </c>
      <c r="B62" s="99">
        <f>Merge60_CSY!AM63</f>
        <v>3123.2759081089525</v>
      </c>
      <c r="C62" s="91">
        <f t="shared" si="7"/>
        <v>16523.811942971788</v>
      </c>
      <c r="D62" s="91">
        <f t="shared" si="12"/>
        <v>481.12107511791055</v>
      </c>
      <c r="E62" s="92">
        <f t="shared" si="10"/>
        <v>16042.690867853878</v>
      </c>
      <c r="L62" s="96">
        <v>2009</v>
      </c>
      <c r="M62" s="91">
        <v>224598.76790000001</v>
      </c>
      <c r="N62" s="91">
        <v>6894.8612000000003</v>
      </c>
      <c r="O62" s="89">
        <f t="shared" si="11"/>
        <v>3.069857089808194E-2</v>
      </c>
    </row>
    <row r="63" spans="1:15">
      <c r="A63" s="24">
        <v>2010</v>
      </c>
      <c r="B63" s="99">
        <f>Merge60_CSY!AM64</f>
        <v>3432.345905000835</v>
      </c>
      <c r="C63" s="91">
        <f t="shared" si="7"/>
        <v>18820.897253932151</v>
      </c>
      <c r="D63" s="91">
        <f t="shared" si="12"/>
        <v>552.94512826136895</v>
      </c>
      <c r="E63" s="92">
        <f t="shared" si="10"/>
        <v>18267.952125670781</v>
      </c>
      <c r="L63" s="96">
        <v>2010</v>
      </c>
      <c r="M63" s="91">
        <v>278121.85489999998</v>
      </c>
      <c r="N63" s="91">
        <v>7923.0877</v>
      </c>
      <c r="O63" s="89">
        <f t="shared" si="11"/>
        <v>2.8487828483844908E-2</v>
      </c>
    </row>
    <row r="64" spans="1:15">
      <c r="A64" s="24">
        <v>2011</v>
      </c>
      <c r="B64" s="99">
        <f>Merge60_CSY!AM65</f>
        <v>3748.9285911439315</v>
      </c>
      <c r="C64" s="91">
        <f t="shared" si="7"/>
        <v>21312.198296236376</v>
      </c>
      <c r="D64" s="91">
        <f t="shared" si="12"/>
        <v>623.07795328719169</v>
      </c>
      <c r="E64" s="92">
        <f t="shared" si="10"/>
        <v>20689.120342949183</v>
      </c>
      <c r="L64" s="96">
        <v>2011</v>
      </c>
      <c r="M64" s="91">
        <v>311485.12539999996</v>
      </c>
      <c r="N64" s="91">
        <v>8757.8235999999997</v>
      </c>
      <c r="O64" s="89">
        <f t="shared" si="11"/>
        <v>2.8116346129701899E-2</v>
      </c>
    </row>
    <row r="65" spans="1:15">
      <c r="A65" s="24">
        <v>2012</v>
      </c>
      <c r="B65" s="99">
        <f>Merge60_CSY!AM66</f>
        <v>4072.9564653336947</v>
      </c>
      <c r="C65" s="91">
        <f t="shared" si="7"/>
        <v>23995.51697256849</v>
      </c>
      <c r="D65" s="91">
        <f t="shared" si="12"/>
        <v>697.33022950697045</v>
      </c>
      <c r="E65" s="92">
        <f t="shared" si="10"/>
        <v>23298.18674306152</v>
      </c>
      <c r="L65" s="102">
        <v>2012</v>
      </c>
      <c r="M65" s="93">
        <v>374694.73550000001</v>
      </c>
      <c r="N65" s="93">
        <v>10996.438599999999</v>
      </c>
      <c r="O65" s="90">
        <f t="shared" si="11"/>
        <v>2.9347726450776351E-2</v>
      </c>
    </row>
    <row r="66" spans="1:15">
      <c r="A66" s="25"/>
      <c r="B66" s="100"/>
      <c r="C66" s="93">
        <f t="shared" si="7"/>
        <v>26868.697589273761</v>
      </c>
      <c r="D66" s="93">
        <f t="shared" si="12"/>
        <v>781.99573022215611</v>
      </c>
      <c r="E66" s="94">
        <f t="shared" si="10"/>
        <v>26086.701859051605</v>
      </c>
    </row>
  </sheetData>
  <mergeCells count="14">
    <mergeCell ref="L54:O54"/>
    <mergeCell ref="AD3:AE3"/>
    <mergeCell ref="AF3:AG3"/>
    <mergeCell ref="AH3:AI3"/>
    <mergeCell ref="B2:E3"/>
    <mergeCell ref="R3:T3"/>
    <mergeCell ref="U3:W3"/>
    <mergeCell ref="R2:W2"/>
    <mergeCell ref="Z2:AI2"/>
    <mergeCell ref="M2:N3"/>
    <mergeCell ref="I2:J2"/>
    <mergeCell ref="I3:J3"/>
    <mergeCell ref="Z3:AA3"/>
    <mergeCell ref="AB3:AC3"/>
  </mergeCells>
  <pageMargins left="0.7" right="0.7" top="0.75" bottom="0.75" header="0.3" footer="0.3"/>
  <pageSetup scale="52" orientation="portrait" r:id="rId1"/>
  <colBreaks count="1" manualBreakCount="1">
    <brk id="15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S91"/>
  <sheetViews>
    <sheetView view="pageBreakPreview" zoomScale="60" zoomScaleNormal="100" workbookViewId="0">
      <selection activeCell="A19" sqref="A19"/>
    </sheetView>
  </sheetViews>
  <sheetFormatPr defaultRowHeight="15"/>
  <cols>
    <col min="2" max="5" width="12.140625" customWidth="1"/>
    <col min="10" max="15" width="14.28515625" customWidth="1"/>
    <col min="17" max="17" width="8.7109375" style="4"/>
    <col min="18" max="23" width="10.85546875" customWidth="1"/>
    <col min="25" max="25" width="48.7109375" customWidth="1"/>
    <col min="31" max="32" width="11" customWidth="1"/>
    <col min="37" max="39" width="11" customWidth="1"/>
    <col min="40" max="45" width="11.5703125" customWidth="1"/>
  </cols>
  <sheetData>
    <row r="1" spans="1:38">
      <c r="A1" t="s">
        <v>159</v>
      </c>
      <c r="B1" t="s">
        <v>162</v>
      </c>
      <c r="J1" t="s">
        <v>170</v>
      </c>
      <c r="R1" t="s">
        <v>172</v>
      </c>
      <c r="Y1" t="s">
        <v>35</v>
      </c>
      <c r="Z1" t="s">
        <v>36</v>
      </c>
    </row>
    <row r="2" spans="1:38">
      <c r="B2" s="122" t="s">
        <v>174</v>
      </c>
      <c r="C2" s="124"/>
      <c r="D2" s="124"/>
      <c r="E2" s="123"/>
      <c r="J2" s="122" t="s">
        <v>169</v>
      </c>
      <c r="K2" s="124"/>
      <c r="L2" s="124"/>
      <c r="M2" s="124"/>
      <c r="N2" s="124"/>
      <c r="O2" s="123"/>
      <c r="R2" s="122" t="s">
        <v>171</v>
      </c>
      <c r="S2" s="124"/>
      <c r="T2" s="124"/>
      <c r="U2" s="124"/>
      <c r="V2" s="124"/>
      <c r="W2" s="123"/>
    </row>
    <row r="3" spans="1:38">
      <c r="B3" s="122" t="s">
        <v>13</v>
      </c>
      <c r="C3" s="123"/>
      <c r="D3" s="124" t="s">
        <v>14</v>
      </c>
      <c r="E3" s="123"/>
      <c r="J3" s="122" t="s">
        <v>13</v>
      </c>
      <c r="K3" s="124"/>
      <c r="L3" s="123"/>
      <c r="M3" s="124" t="s">
        <v>14</v>
      </c>
      <c r="N3" s="124"/>
      <c r="O3" s="123"/>
      <c r="R3" s="122" t="s">
        <v>13</v>
      </c>
      <c r="S3" s="124"/>
      <c r="T3" s="123"/>
      <c r="U3" s="122" t="s">
        <v>14</v>
      </c>
      <c r="V3" s="124"/>
      <c r="W3" s="123"/>
    </row>
    <row r="4" spans="1:38" ht="45">
      <c r="A4" s="47" t="s">
        <v>0</v>
      </c>
      <c r="B4" s="52" t="s">
        <v>64</v>
      </c>
      <c r="C4" s="72" t="s">
        <v>102</v>
      </c>
      <c r="D4" s="52" t="s">
        <v>64</v>
      </c>
      <c r="E4" s="72" t="s">
        <v>102</v>
      </c>
      <c r="I4" s="47" t="s">
        <v>0</v>
      </c>
      <c r="J4" s="52" t="s">
        <v>7</v>
      </c>
      <c r="K4" s="52" t="s">
        <v>4</v>
      </c>
      <c r="L4" s="72" t="s">
        <v>101</v>
      </c>
      <c r="M4" s="52" t="s">
        <v>7</v>
      </c>
      <c r="N4" s="52" t="s">
        <v>4</v>
      </c>
      <c r="O4" s="72" t="s">
        <v>101</v>
      </c>
      <c r="Q4" s="57" t="s">
        <v>0</v>
      </c>
      <c r="R4" s="73" t="s">
        <v>7</v>
      </c>
      <c r="S4" s="52" t="s">
        <v>64</v>
      </c>
      <c r="T4" s="52" t="s">
        <v>102</v>
      </c>
      <c r="U4" s="73" t="s">
        <v>7</v>
      </c>
      <c r="V4" s="52" t="s">
        <v>64</v>
      </c>
      <c r="W4" s="72" t="s">
        <v>102</v>
      </c>
      <c r="Y4" s="147" t="s">
        <v>34</v>
      </c>
      <c r="Z4" s="147"/>
      <c r="AA4" s="147"/>
      <c r="AB4" s="147"/>
      <c r="AC4" s="147"/>
      <c r="AD4" s="147"/>
      <c r="AE4" s="147"/>
      <c r="AF4" s="147"/>
      <c r="AG4" s="147"/>
      <c r="AH4" s="147"/>
      <c r="AI4" s="147"/>
    </row>
    <row r="5" spans="1:38">
      <c r="A5" s="24">
        <v>1952</v>
      </c>
      <c r="B5" s="6">
        <f t="shared" ref="B5:B17" si="0">S5/R5</f>
        <v>0.33850755812008826</v>
      </c>
      <c r="C5" s="81">
        <f>1-B5</f>
        <v>0.66149244187991174</v>
      </c>
      <c r="D5" s="6">
        <f t="shared" ref="D5:D17" si="1">V5/U5</f>
        <v>1.9966293050811646E-2</v>
      </c>
      <c r="E5" s="81">
        <f>1-D5</f>
        <v>0.98003370694918834</v>
      </c>
      <c r="F5" s="6"/>
      <c r="G5" s="6"/>
      <c r="I5" s="75">
        <v>1980</v>
      </c>
      <c r="J5" s="3">
        <v>181.19</v>
      </c>
      <c r="K5" s="3">
        <v>91.14</v>
      </c>
      <c r="L5" s="62">
        <v>31.230000000000004</v>
      </c>
      <c r="M5" s="3">
        <v>200.17</v>
      </c>
      <c r="N5" s="3">
        <v>69.59</v>
      </c>
      <c r="O5" s="62">
        <v>32.019999999999996</v>
      </c>
      <c r="Q5" s="74">
        <v>1952</v>
      </c>
      <c r="R5" s="32">
        <v>2571142</v>
      </c>
      <c r="S5" s="32">
        <v>870351</v>
      </c>
      <c r="T5" s="33">
        <f>R5-S5</f>
        <v>1700791</v>
      </c>
      <c r="U5" s="32">
        <v>2404252</v>
      </c>
      <c r="V5" s="32">
        <v>48004</v>
      </c>
      <c r="W5" s="33">
        <f>U5-V5</f>
        <v>2356248</v>
      </c>
      <c r="Y5" s="10"/>
      <c r="Z5" s="77">
        <v>1952</v>
      </c>
      <c r="AA5" s="77">
        <v>1953</v>
      </c>
      <c r="AB5" s="77">
        <v>1954</v>
      </c>
      <c r="AC5" s="77">
        <v>1955</v>
      </c>
      <c r="AD5" s="77">
        <v>1956</v>
      </c>
      <c r="AE5" s="77">
        <v>1957</v>
      </c>
      <c r="AF5" s="77">
        <v>1958</v>
      </c>
      <c r="AG5" s="77">
        <v>1959</v>
      </c>
      <c r="AH5" s="77">
        <v>1960</v>
      </c>
      <c r="AI5" s="77">
        <v>1961</v>
      </c>
      <c r="AJ5" s="77">
        <v>1962</v>
      </c>
      <c r="AK5" s="77">
        <v>1963</v>
      </c>
      <c r="AL5" s="70">
        <v>1964</v>
      </c>
    </row>
    <row r="6" spans="1:38">
      <c r="A6" s="24">
        <v>1953</v>
      </c>
      <c r="B6" s="6">
        <f t="shared" si="0"/>
        <v>0.32648478111996881</v>
      </c>
      <c r="C6" s="81">
        <f t="shared" ref="C6:C33" si="2">1-B6</f>
        <v>0.67351521888003119</v>
      </c>
      <c r="D6" s="6">
        <f t="shared" si="1"/>
        <v>2.2744810388778451E-2</v>
      </c>
      <c r="E6" s="81">
        <f t="shared" ref="E6:E33" si="3">1-D6</f>
        <v>0.9772551896112216</v>
      </c>
      <c r="F6" s="6"/>
      <c r="G6" s="6"/>
      <c r="I6" s="75">
        <v>1985</v>
      </c>
      <c r="J6" s="3">
        <v>273.5</v>
      </c>
      <c r="K6" s="3">
        <v>138.28</v>
      </c>
      <c r="L6" s="62">
        <v>40.43</v>
      </c>
      <c r="M6" s="3">
        <v>422.52</v>
      </c>
      <c r="N6" s="3">
        <v>52.89</v>
      </c>
      <c r="O6" s="62">
        <v>18.809999999999999</v>
      </c>
      <c r="Q6" s="75">
        <v>1953</v>
      </c>
      <c r="R6" s="4">
        <v>3262198</v>
      </c>
      <c r="S6" s="4">
        <v>1065058</v>
      </c>
      <c r="T6" s="18">
        <f t="shared" ref="T6:T17" si="4">R6-S6</f>
        <v>2197140</v>
      </c>
      <c r="U6" s="4">
        <v>2647549</v>
      </c>
      <c r="V6" s="4">
        <v>60218</v>
      </c>
      <c r="W6" s="18">
        <f t="shared" ref="W6:W17" si="5">U6-V6</f>
        <v>2587331</v>
      </c>
      <c r="Y6" s="24" t="s">
        <v>37</v>
      </c>
      <c r="Z6">
        <v>56415</v>
      </c>
      <c r="AA6">
        <v>46901</v>
      </c>
      <c r="AB6">
        <v>74366</v>
      </c>
      <c r="AC6">
        <v>78514</v>
      </c>
      <c r="AD6">
        <v>73946</v>
      </c>
      <c r="AE6">
        <v>73897</v>
      </c>
      <c r="AF6">
        <v>77494</v>
      </c>
      <c r="AG6">
        <v>62493</v>
      </c>
      <c r="AH6">
        <v>57060</v>
      </c>
      <c r="AI6">
        <v>30087</v>
      </c>
      <c r="AJ6">
        <v>44616</v>
      </c>
      <c r="AK6">
        <v>85495</v>
      </c>
      <c r="AL6" s="28">
        <v>124894</v>
      </c>
    </row>
    <row r="7" spans="1:38">
      <c r="A7" s="24">
        <v>1954</v>
      </c>
      <c r="B7" s="6">
        <f t="shared" si="0"/>
        <v>0.35404104565379801</v>
      </c>
      <c r="C7" s="81">
        <f t="shared" si="2"/>
        <v>0.64595895434620199</v>
      </c>
      <c r="D7" s="6">
        <f t="shared" si="1"/>
        <v>4.0473766122150694E-2</v>
      </c>
      <c r="E7" s="81">
        <f t="shared" si="3"/>
        <v>0.9595262338778493</v>
      </c>
      <c r="F7" s="6"/>
      <c r="G7" s="6"/>
      <c r="I7" s="75">
        <v>1990</v>
      </c>
      <c r="J7" s="3">
        <v>620.91</v>
      </c>
      <c r="K7" s="3">
        <v>158.86000000000001</v>
      </c>
      <c r="L7" s="62">
        <v>71.12</v>
      </c>
      <c r="M7" s="3">
        <v>533.45000000000005</v>
      </c>
      <c r="N7" s="3">
        <v>98.53</v>
      </c>
      <c r="O7" s="62">
        <v>44.74</v>
      </c>
      <c r="Q7" s="75">
        <v>1954</v>
      </c>
      <c r="R7" s="4">
        <v>3668939</v>
      </c>
      <c r="S7" s="4">
        <v>1298955</v>
      </c>
      <c r="T7" s="18">
        <f t="shared" si="4"/>
        <v>2369984</v>
      </c>
      <c r="U7" s="4">
        <v>4244626</v>
      </c>
      <c r="V7" s="4">
        <v>171796</v>
      </c>
      <c r="W7" s="18">
        <f t="shared" si="5"/>
        <v>4072830</v>
      </c>
      <c r="Y7" s="24" t="s">
        <v>38</v>
      </c>
      <c r="Z7">
        <v>57334</v>
      </c>
      <c r="AA7">
        <v>133370</v>
      </c>
      <c r="AB7">
        <v>265308</v>
      </c>
      <c r="AC7">
        <v>325263</v>
      </c>
      <c r="AD7">
        <v>317856</v>
      </c>
      <c r="AE7">
        <v>198752</v>
      </c>
      <c r="AF7">
        <v>356650</v>
      </c>
      <c r="AG7">
        <v>313288</v>
      </c>
      <c r="AH7">
        <v>199183</v>
      </c>
      <c r="AI7">
        <v>58716</v>
      </c>
      <c r="AJ7">
        <v>42573</v>
      </c>
      <c r="AK7">
        <v>84937</v>
      </c>
      <c r="AL7" s="28">
        <v>211273</v>
      </c>
    </row>
    <row r="8" spans="1:38">
      <c r="A8" s="24">
        <v>1955</v>
      </c>
      <c r="B8" s="6">
        <f t="shared" si="0"/>
        <v>0.33964301288702425</v>
      </c>
      <c r="C8" s="81">
        <f t="shared" si="2"/>
        <v>0.66035698711297575</v>
      </c>
      <c r="D8" s="6">
        <f t="shared" si="1"/>
        <v>2.8196540399089833E-2</v>
      </c>
      <c r="E8" s="81">
        <f t="shared" si="3"/>
        <v>0.97180345960091019</v>
      </c>
      <c r="F8" s="6"/>
      <c r="G8" s="6"/>
      <c r="I8" s="75">
        <v>1991</v>
      </c>
      <c r="J8" s="3">
        <v>719.1</v>
      </c>
      <c r="K8" s="3">
        <v>161.44999999999999</v>
      </c>
      <c r="L8" s="62">
        <v>79.050000000000011</v>
      </c>
      <c r="M8" s="3">
        <v>637.91</v>
      </c>
      <c r="N8" s="3">
        <v>108.34</v>
      </c>
      <c r="O8" s="62">
        <v>37.18</v>
      </c>
      <c r="Q8" s="75">
        <v>1955</v>
      </c>
      <c r="R8" s="4">
        <v>4655070</v>
      </c>
      <c r="S8" s="4">
        <v>1581062</v>
      </c>
      <c r="T8" s="18">
        <f t="shared" si="4"/>
        <v>3074008</v>
      </c>
      <c r="U8" s="4">
        <v>3631864</v>
      </c>
      <c r="V8" s="4">
        <v>102406</v>
      </c>
      <c r="W8" s="18">
        <f t="shared" si="5"/>
        <v>3529458</v>
      </c>
      <c r="Y8" s="24" t="s">
        <v>39</v>
      </c>
      <c r="Z8">
        <v>51505</v>
      </c>
      <c r="AA8">
        <v>74280</v>
      </c>
      <c r="AB8">
        <v>101968</v>
      </c>
      <c r="AC8">
        <v>97226</v>
      </c>
      <c r="AD8">
        <v>131059</v>
      </c>
      <c r="AE8">
        <v>145742</v>
      </c>
      <c r="AF8">
        <v>199004</v>
      </c>
      <c r="AG8">
        <v>74270</v>
      </c>
      <c r="AH8">
        <v>42386</v>
      </c>
      <c r="AI8">
        <v>27801</v>
      </c>
      <c r="AJ8">
        <v>49875</v>
      </c>
      <c r="AK8">
        <v>90941</v>
      </c>
      <c r="AL8" s="28">
        <v>85877</v>
      </c>
    </row>
    <row r="9" spans="1:38">
      <c r="A9" s="24">
        <v>1956</v>
      </c>
      <c r="B9" s="6">
        <f t="shared" si="0"/>
        <v>0.33062651992300024</v>
      </c>
      <c r="C9" s="81">
        <f t="shared" si="2"/>
        <v>0.66937348007699971</v>
      </c>
      <c r="D9" s="6">
        <f t="shared" si="1"/>
        <v>2.1537211782543125E-2</v>
      </c>
      <c r="E9" s="81">
        <f t="shared" si="3"/>
        <v>0.97846278821745691</v>
      </c>
      <c r="F9" s="6"/>
      <c r="G9" s="6"/>
      <c r="I9" s="75">
        <v>1992</v>
      </c>
      <c r="J9" s="3">
        <v>849.4</v>
      </c>
      <c r="K9" s="3">
        <v>170.04</v>
      </c>
      <c r="L9" s="62">
        <v>91.68</v>
      </c>
      <c r="M9" s="3">
        <v>805.85</v>
      </c>
      <c r="N9" s="3">
        <v>132.55000000000001</v>
      </c>
      <c r="O9" s="62">
        <v>39.1</v>
      </c>
      <c r="Q9" s="75">
        <v>1956</v>
      </c>
      <c r="R9" s="4">
        <v>5334563</v>
      </c>
      <c r="S9" s="4">
        <v>1763748</v>
      </c>
      <c r="T9" s="18">
        <f t="shared" si="4"/>
        <v>3570815</v>
      </c>
      <c r="U9" s="4">
        <v>4229749</v>
      </c>
      <c r="V9" s="4">
        <v>91097</v>
      </c>
      <c r="W9" s="18">
        <f t="shared" si="5"/>
        <v>4138652</v>
      </c>
      <c r="Y9" s="24" t="s">
        <v>40</v>
      </c>
      <c r="Z9">
        <v>14541</v>
      </c>
      <c r="AA9">
        <v>18336</v>
      </c>
      <c r="AB9">
        <v>19625</v>
      </c>
      <c r="AC9">
        <v>28587</v>
      </c>
      <c r="AD9">
        <v>34933</v>
      </c>
      <c r="AE9">
        <v>48222</v>
      </c>
      <c r="AF9">
        <v>63305</v>
      </c>
      <c r="AG9">
        <v>58907</v>
      </c>
      <c r="AH9">
        <v>57047</v>
      </c>
      <c r="AI9">
        <v>35953</v>
      </c>
      <c r="AJ9">
        <v>46138</v>
      </c>
      <c r="AK9">
        <v>63950</v>
      </c>
      <c r="AL9" s="28">
        <v>106970</v>
      </c>
    </row>
    <row r="10" spans="1:38">
      <c r="A10" s="24">
        <v>1957</v>
      </c>
      <c r="B10" s="6">
        <f t="shared" si="0"/>
        <v>0.2829982919308931</v>
      </c>
      <c r="C10" s="81">
        <f t="shared" si="2"/>
        <v>0.7170017080691069</v>
      </c>
      <c r="D10" s="6">
        <f t="shared" si="1"/>
        <v>1.8221297768401305E-2</v>
      </c>
      <c r="E10" s="81">
        <f t="shared" si="3"/>
        <v>0.98177870223159869</v>
      </c>
      <c r="F10" s="6"/>
      <c r="G10" s="6"/>
      <c r="I10" s="75">
        <v>1993</v>
      </c>
      <c r="J10" s="3">
        <v>917.44</v>
      </c>
      <c r="K10" s="3">
        <v>166.66</v>
      </c>
      <c r="L10" s="62">
        <v>95.05</v>
      </c>
      <c r="M10" s="3">
        <v>1039.5899999999999</v>
      </c>
      <c r="N10" s="3">
        <v>142.1</v>
      </c>
      <c r="O10" s="62">
        <v>29.529999999999998</v>
      </c>
      <c r="Q10" s="75">
        <v>1957</v>
      </c>
      <c r="R10" s="4">
        <v>5264424</v>
      </c>
      <c r="S10" s="4">
        <v>1489823</v>
      </c>
      <c r="T10" s="18">
        <f t="shared" si="4"/>
        <v>3774601</v>
      </c>
      <c r="U10" s="4">
        <v>4345629</v>
      </c>
      <c r="V10" s="4">
        <v>79183</v>
      </c>
      <c r="W10" s="18">
        <f t="shared" si="5"/>
        <v>4266446</v>
      </c>
      <c r="Y10" s="24" t="s">
        <v>41</v>
      </c>
      <c r="Z10">
        <v>169519</v>
      </c>
      <c r="AA10">
        <v>270181</v>
      </c>
      <c r="AB10">
        <v>270746</v>
      </c>
      <c r="AC10">
        <v>371083</v>
      </c>
      <c r="AD10">
        <v>476389</v>
      </c>
      <c r="AE10">
        <v>244644</v>
      </c>
      <c r="AF10">
        <v>521465</v>
      </c>
      <c r="AG10">
        <v>790231</v>
      </c>
      <c r="AH10">
        <v>496636</v>
      </c>
      <c r="AI10">
        <v>130554</v>
      </c>
      <c r="AJ10">
        <v>214170</v>
      </c>
      <c r="AK10">
        <v>215826</v>
      </c>
      <c r="AL10" s="28">
        <v>247364</v>
      </c>
    </row>
    <row r="11" spans="1:38">
      <c r="A11" s="24">
        <v>1958</v>
      </c>
      <c r="B11" s="6">
        <f t="shared" si="0"/>
        <v>0.33440073590991432</v>
      </c>
      <c r="C11" s="81">
        <f t="shared" si="2"/>
        <v>0.66559926409008563</v>
      </c>
      <c r="D11" s="6">
        <f t="shared" si="1"/>
        <v>2.807553968931293E-2</v>
      </c>
      <c r="E11" s="81">
        <f t="shared" si="3"/>
        <v>0.97192446031068702</v>
      </c>
      <c r="F11" s="6"/>
      <c r="G11" s="6"/>
      <c r="I11" s="75">
        <v>1994</v>
      </c>
      <c r="J11" s="3">
        <v>1210.06</v>
      </c>
      <c r="K11" s="3">
        <v>197.08</v>
      </c>
      <c r="L11" s="62">
        <v>115.12</v>
      </c>
      <c r="M11" s="3">
        <v>1156.1400000000001</v>
      </c>
      <c r="N11" s="3">
        <v>164.86</v>
      </c>
      <c r="O11" s="62">
        <v>50.14</v>
      </c>
      <c r="Q11" s="75">
        <v>1958</v>
      </c>
      <c r="R11" s="4">
        <v>6322513</v>
      </c>
      <c r="S11" s="4">
        <v>2114253</v>
      </c>
      <c r="T11" s="18">
        <f t="shared" si="4"/>
        <v>4208260</v>
      </c>
      <c r="U11" s="4">
        <v>5352524</v>
      </c>
      <c r="V11" s="4">
        <v>150275</v>
      </c>
      <c r="W11" s="18">
        <f t="shared" si="5"/>
        <v>5202249</v>
      </c>
      <c r="Y11" s="24" t="s">
        <v>42</v>
      </c>
      <c r="Z11">
        <v>391187</v>
      </c>
      <c r="AA11">
        <v>409634</v>
      </c>
      <c r="AB11">
        <v>459077</v>
      </c>
      <c r="AC11">
        <v>546305</v>
      </c>
      <c r="AD11">
        <v>579528</v>
      </c>
      <c r="AE11">
        <v>622192</v>
      </c>
      <c r="AF11">
        <v>686969</v>
      </c>
      <c r="AG11">
        <v>785585</v>
      </c>
      <c r="AH11">
        <v>3562953</v>
      </c>
      <c r="AI11">
        <v>234117</v>
      </c>
      <c r="AJ11">
        <v>210861</v>
      </c>
      <c r="AK11">
        <v>299554</v>
      </c>
      <c r="AL11" s="28">
        <v>368891</v>
      </c>
    </row>
    <row r="12" spans="1:38">
      <c r="A12" s="24">
        <v>1959</v>
      </c>
      <c r="B12" s="6">
        <f t="shared" si="0"/>
        <v>0.30515196586714033</v>
      </c>
      <c r="C12" s="81">
        <f t="shared" si="2"/>
        <v>0.69484803413285967</v>
      </c>
      <c r="D12" s="6">
        <f t="shared" si="1"/>
        <v>1.1214273641124971E-2</v>
      </c>
      <c r="E12" s="81">
        <f t="shared" si="3"/>
        <v>0.98878572635887507</v>
      </c>
      <c r="F12" s="6"/>
      <c r="G12" s="6"/>
      <c r="I12" s="75">
        <v>1995</v>
      </c>
      <c r="J12" s="3">
        <v>1487.8</v>
      </c>
      <c r="K12" s="3">
        <v>214.85</v>
      </c>
      <c r="L12" s="62">
        <v>117.78000000000002</v>
      </c>
      <c r="M12" s="3">
        <v>1320.84</v>
      </c>
      <c r="N12" s="3">
        <v>244.17</v>
      </c>
      <c r="O12" s="62">
        <v>91.31</v>
      </c>
      <c r="Q12" s="75">
        <v>1959</v>
      </c>
      <c r="R12" s="4">
        <v>7494479</v>
      </c>
      <c r="S12" s="4">
        <v>2286955</v>
      </c>
      <c r="T12" s="18">
        <f t="shared" si="4"/>
        <v>5207524</v>
      </c>
      <c r="U12" s="4">
        <v>7004912</v>
      </c>
      <c r="V12" s="4">
        <v>78555</v>
      </c>
      <c r="W12" s="18">
        <f t="shared" si="5"/>
        <v>6926357</v>
      </c>
      <c r="Y12" s="24" t="s">
        <v>43</v>
      </c>
      <c r="Z12">
        <v>415</v>
      </c>
      <c r="AA12">
        <v>1343</v>
      </c>
      <c r="AB12">
        <v>1876</v>
      </c>
      <c r="AC12">
        <v>5554</v>
      </c>
      <c r="AD12">
        <v>6229</v>
      </c>
      <c r="AE12">
        <v>8432</v>
      </c>
      <c r="AF12">
        <v>33663</v>
      </c>
      <c r="AG12">
        <v>28110</v>
      </c>
      <c r="AH12">
        <v>22755</v>
      </c>
      <c r="AI12">
        <v>41271</v>
      </c>
      <c r="AJ12">
        <v>41793</v>
      </c>
      <c r="AK12">
        <v>82520</v>
      </c>
      <c r="AL12" s="28">
        <v>116107</v>
      </c>
    </row>
    <row r="13" spans="1:38">
      <c r="A13" s="24">
        <v>1960</v>
      </c>
      <c r="B13" s="6">
        <f t="shared" si="0"/>
        <v>0.48692931752206964</v>
      </c>
      <c r="C13" s="81">
        <f t="shared" si="2"/>
        <v>0.51307068247793031</v>
      </c>
      <c r="D13" s="6">
        <f t="shared" si="1"/>
        <v>1.5976308807051663E-2</v>
      </c>
      <c r="E13" s="81">
        <f t="shared" si="3"/>
        <v>0.9840236911929483</v>
      </c>
      <c r="F13" s="6"/>
      <c r="G13" s="6"/>
      <c r="I13" s="75">
        <v>1996</v>
      </c>
      <c r="J13" s="3">
        <v>1510.48</v>
      </c>
      <c r="K13" s="3">
        <v>219.25</v>
      </c>
      <c r="L13" s="62">
        <v>119.49000000000001</v>
      </c>
      <c r="M13" s="3">
        <v>1388.33</v>
      </c>
      <c r="N13" s="3">
        <v>254.41</v>
      </c>
      <c r="O13" s="62">
        <v>78.66</v>
      </c>
      <c r="Q13" s="75">
        <v>1960</v>
      </c>
      <c r="R13" s="4">
        <v>9397520</v>
      </c>
      <c r="S13" s="4">
        <v>4575928</v>
      </c>
      <c r="T13" s="18">
        <f t="shared" si="4"/>
        <v>4821592</v>
      </c>
      <c r="U13" s="4">
        <v>6349026</v>
      </c>
      <c r="V13" s="4">
        <v>101434</v>
      </c>
      <c r="W13" s="18">
        <f t="shared" si="5"/>
        <v>6247592</v>
      </c>
      <c r="Y13" s="24" t="s">
        <v>44</v>
      </c>
      <c r="Z13">
        <v>96312</v>
      </c>
      <c r="AA13">
        <v>89512</v>
      </c>
      <c r="AB13">
        <v>98035</v>
      </c>
      <c r="AC13">
        <v>119623</v>
      </c>
      <c r="AD13">
        <v>132056</v>
      </c>
      <c r="AE13">
        <v>134273</v>
      </c>
      <c r="AF13">
        <v>157781</v>
      </c>
      <c r="AG13">
        <v>153183</v>
      </c>
      <c r="AH13">
        <v>116000</v>
      </c>
      <c r="AI13">
        <v>84233</v>
      </c>
      <c r="AJ13">
        <v>80426</v>
      </c>
      <c r="AK13">
        <v>87374</v>
      </c>
      <c r="AL13" s="28">
        <v>100019</v>
      </c>
    </row>
    <row r="14" spans="1:38">
      <c r="A14" s="24">
        <v>1961</v>
      </c>
      <c r="B14" s="6">
        <f t="shared" si="0"/>
        <v>0.14303511772907052</v>
      </c>
      <c r="C14" s="81">
        <f t="shared" si="2"/>
        <v>0.85696488227092948</v>
      </c>
      <c r="D14" s="6">
        <f t="shared" si="1"/>
        <v>0.29062805072922998</v>
      </c>
      <c r="E14" s="81">
        <f t="shared" si="3"/>
        <v>0.70937194927076996</v>
      </c>
      <c r="F14" s="6"/>
      <c r="G14" s="6"/>
      <c r="I14" s="75">
        <v>1997</v>
      </c>
      <c r="J14" s="3">
        <v>1827.92</v>
      </c>
      <c r="K14" s="3">
        <v>239.53</v>
      </c>
      <c r="L14" s="62">
        <v>127.71</v>
      </c>
      <c r="M14" s="3">
        <v>1423.7</v>
      </c>
      <c r="N14" s="3">
        <v>286.2</v>
      </c>
      <c r="O14" s="62">
        <v>63.08</v>
      </c>
      <c r="Q14" s="75">
        <v>1961</v>
      </c>
      <c r="R14" s="4">
        <v>4589733</v>
      </c>
      <c r="S14" s="4">
        <v>656493</v>
      </c>
      <c r="T14" s="18">
        <f t="shared" si="4"/>
        <v>3933240</v>
      </c>
      <c r="U14" s="4">
        <v>4583945</v>
      </c>
      <c r="V14" s="4">
        <v>1332223</v>
      </c>
      <c r="W14" s="18">
        <f t="shared" si="5"/>
        <v>3251722</v>
      </c>
      <c r="Y14" s="24" t="s">
        <v>45</v>
      </c>
      <c r="Z14">
        <v>30872</v>
      </c>
      <c r="AA14">
        <v>19737</v>
      </c>
      <c r="AB14">
        <v>5708</v>
      </c>
      <c r="AC14">
        <v>4476</v>
      </c>
      <c r="AD14">
        <v>5133</v>
      </c>
      <c r="AE14">
        <v>5504</v>
      </c>
      <c r="AF14">
        <v>3645</v>
      </c>
      <c r="AG14">
        <v>2717</v>
      </c>
      <c r="AH14">
        <v>4549</v>
      </c>
      <c r="AI14">
        <v>1966</v>
      </c>
      <c r="AJ14">
        <v>1284</v>
      </c>
      <c r="AK14">
        <v>2873</v>
      </c>
      <c r="AL14" s="28">
        <v>5862</v>
      </c>
    </row>
    <row r="15" spans="1:38">
      <c r="A15" s="24">
        <v>1962</v>
      </c>
      <c r="B15" s="6">
        <f t="shared" si="0"/>
        <v>0.15939467615238304</v>
      </c>
      <c r="C15" s="81">
        <f t="shared" si="2"/>
        <v>0.84060532384761699</v>
      </c>
      <c r="D15" s="6">
        <f t="shared" si="1"/>
        <v>0.36731418348850348</v>
      </c>
      <c r="E15" s="81">
        <f t="shared" si="3"/>
        <v>0.63268581651149658</v>
      </c>
      <c r="F15" s="6"/>
      <c r="G15" s="6"/>
      <c r="I15" s="75">
        <v>1998</v>
      </c>
      <c r="J15" s="3">
        <v>1837.09</v>
      </c>
      <c r="K15" s="3">
        <v>204.89</v>
      </c>
      <c r="L15" s="62">
        <v>117.94999999999999</v>
      </c>
      <c r="M15" s="3">
        <v>1402.37</v>
      </c>
      <c r="N15" s="3">
        <v>229.49</v>
      </c>
      <c r="O15" s="62">
        <v>54.58</v>
      </c>
      <c r="Q15" s="75">
        <v>1962</v>
      </c>
      <c r="R15" s="4">
        <v>4676505</v>
      </c>
      <c r="S15" s="4">
        <v>745410</v>
      </c>
      <c r="T15" s="18">
        <f t="shared" si="4"/>
        <v>3931095</v>
      </c>
      <c r="U15" s="4">
        <v>3289078</v>
      </c>
      <c r="V15" s="4">
        <v>1208125</v>
      </c>
      <c r="W15" s="18">
        <f t="shared" si="5"/>
        <v>2080953</v>
      </c>
      <c r="Y15" s="24" t="s">
        <v>46</v>
      </c>
      <c r="Z15">
        <v>617</v>
      </c>
      <c r="AA15">
        <v>599</v>
      </c>
      <c r="AB15">
        <v>777</v>
      </c>
      <c r="AC15">
        <v>1164</v>
      </c>
      <c r="AD15">
        <v>3093</v>
      </c>
      <c r="AE15">
        <v>4813</v>
      </c>
      <c r="AF15">
        <v>8604</v>
      </c>
      <c r="AG15">
        <v>10928</v>
      </c>
      <c r="AH15">
        <v>12189</v>
      </c>
      <c r="AI15">
        <v>6982</v>
      </c>
      <c r="AJ15">
        <v>6909</v>
      </c>
      <c r="AK15">
        <v>7305</v>
      </c>
      <c r="AL15" s="28">
        <v>10835</v>
      </c>
    </row>
    <row r="16" spans="1:38">
      <c r="A16" s="24">
        <v>1963</v>
      </c>
      <c r="B16" s="6">
        <f t="shared" si="0"/>
        <v>0.21062072613524316</v>
      </c>
      <c r="C16" s="81">
        <f t="shared" si="2"/>
        <v>0.78937927386475681</v>
      </c>
      <c r="D16" s="6">
        <f t="shared" si="1"/>
        <v>0.33906409494046136</v>
      </c>
      <c r="E16" s="81">
        <f t="shared" si="3"/>
        <v>0.6609359050595387</v>
      </c>
      <c r="F16" s="6"/>
      <c r="G16" s="6"/>
      <c r="I16" s="75">
        <v>1999</v>
      </c>
      <c r="J16" s="3">
        <v>1949.31</v>
      </c>
      <c r="K16" s="3">
        <v>199.41</v>
      </c>
      <c r="L16" s="62">
        <v>113.60999999999999</v>
      </c>
      <c r="M16" s="3">
        <v>1656.99</v>
      </c>
      <c r="N16" s="3">
        <v>268.45999999999998</v>
      </c>
      <c r="O16" s="62">
        <v>51.94</v>
      </c>
      <c r="Q16" s="75">
        <v>1963</v>
      </c>
      <c r="R16" s="4">
        <v>4881267</v>
      </c>
      <c r="S16" s="4">
        <v>1028096</v>
      </c>
      <c r="T16" s="18">
        <f t="shared" si="4"/>
        <v>3853171</v>
      </c>
      <c r="U16" s="4">
        <v>3435669</v>
      </c>
      <c r="V16" s="4">
        <v>1164912</v>
      </c>
      <c r="W16" s="18">
        <f t="shared" si="5"/>
        <v>2270757</v>
      </c>
      <c r="Y16" s="25" t="s">
        <v>47</v>
      </c>
      <c r="Z16" s="29">
        <v>1634</v>
      </c>
      <c r="AA16" s="29">
        <v>1165</v>
      </c>
      <c r="AB16" s="29">
        <v>1469</v>
      </c>
      <c r="AC16" s="29">
        <v>3267</v>
      </c>
      <c r="AD16" s="29">
        <v>3526</v>
      </c>
      <c r="AE16" s="29">
        <v>3352</v>
      </c>
      <c r="AF16" s="29">
        <v>5673</v>
      </c>
      <c r="AG16" s="29">
        <v>7243</v>
      </c>
      <c r="AH16" s="29">
        <v>5170</v>
      </c>
      <c r="AI16" s="29">
        <v>4813</v>
      </c>
      <c r="AJ16" s="29">
        <v>6765</v>
      </c>
      <c r="AK16" s="29">
        <v>7321</v>
      </c>
      <c r="AL16" s="30">
        <v>9037</v>
      </c>
    </row>
    <row r="17" spans="1:38">
      <c r="A17" s="24">
        <v>1964</v>
      </c>
      <c r="B17" s="6">
        <f t="shared" si="0"/>
        <v>0.25642158961424616</v>
      </c>
      <c r="C17" s="81">
        <f t="shared" si="2"/>
        <v>0.7435784103857539</v>
      </c>
      <c r="D17" s="6">
        <f t="shared" si="1"/>
        <v>0.33208067062292862</v>
      </c>
      <c r="E17" s="81">
        <f t="shared" si="3"/>
        <v>0.66791932937707132</v>
      </c>
      <c r="F17" s="6"/>
      <c r="G17" s="6"/>
      <c r="I17" s="75">
        <v>2000</v>
      </c>
      <c r="J17" s="3">
        <v>2492.0300000000002</v>
      </c>
      <c r="K17" s="3">
        <v>254.6</v>
      </c>
      <c r="L17" s="62">
        <v>131.42999999999998</v>
      </c>
      <c r="M17" s="3">
        <v>2250.94</v>
      </c>
      <c r="N17" s="3">
        <v>467.39</v>
      </c>
      <c r="O17" s="62">
        <v>60.989999999999995</v>
      </c>
      <c r="Q17" s="76">
        <v>1964</v>
      </c>
      <c r="R17" s="20">
        <v>5409564</v>
      </c>
      <c r="S17" s="20">
        <v>1387129</v>
      </c>
      <c r="T17" s="21">
        <f t="shared" si="4"/>
        <v>4022435</v>
      </c>
      <c r="U17" s="20">
        <v>4051636</v>
      </c>
      <c r="V17" s="20">
        <v>1345470</v>
      </c>
      <c r="W17" s="21">
        <f t="shared" si="5"/>
        <v>2706166</v>
      </c>
      <c r="Y17" s="68" t="s">
        <v>166</v>
      </c>
      <c r="Z17">
        <f>SUM(Z6:Z16)</f>
        <v>870351</v>
      </c>
      <c r="AA17">
        <f t="shared" ref="AA17:AL17" si="6">SUM(AA6:AA16)</f>
        <v>1065058</v>
      </c>
      <c r="AB17">
        <f t="shared" si="6"/>
        <v>1298955</v>
      </c>
      <c r="AC17">
        <f t="shared" si="6"/>
        <v>1581062</v>
      </c>
      <c r="AD17">
        <f t="shared" si="6"/>
        <v>1763748</v>
      </c>
      <c r="AE17">
        <f t="shared" si="6"/>
        <v>1489823</v>
      </c>
      <c r="AF17">
        <f t="shared" si="6"/>
        <v>2114253</v>
      </c>
      <c r="AG17">
        <f t="shared" si="6"/>
        <v>2286955</v>
      </c>
      <c r="AH17">
        <f t="shared" si="6"/>
        <v>4575928</v>
      </c>
      <c r="AI17">
        <f t="shared" si="6"/>
        <v>656493</v>
      </c>
      <c r="AJ17">
        <f t="shared" si="6"/>
        <v>745410</v>
      </c>
      <c r="AK17">
        <f t="shared" si="6"/>
        <v>1028096</v>
      </c>
      <c r="AL17" s="28">
        <f t="shared" si="6"/>
        <v>1387129</v>
      </c>
    </row>
    <row r="18" spans="1:38">
      <c r="A18" s="24">
        <v>1965</v>
      </c>
      <c r="B18" s="6">
        <f>B17+(B$34-B$17)/($A$34-$A$17)</f>
        <v>0.25118816104216607</v>
      </c>
      <c r="C18" s="81">
        <f t="shared" si="2"/>
        <v>0.74881183895783399</v>
      </c>
      <c r="D18" s="6">
        <f>D17+(D$34-D$17)/($A$34-$A$17)</f>
        <v>0.32392183375034206</v>
      </c>
      <c r="E18" s="81">
        <f t="shared" si="3"/>
        <v>0.676078166249658</v>
      </c>
      <c r="F18" s="6"/>
      <c r="G18" s="6"/>
      <c r="I18" s="75">
        <v>2001</v>
      </c>
      <c r="J18" s="3">
        <v>2660.98</v>
      </c>
      <c r="K18" s="3">
        <v>263.38</v>
      </c>
      <c r="L18" s="62">
        <v>137.61000000000001</v>
      </c>
      <c r="M18" s="3">
        <v>2435.5300000000002</v>
      </c>
      <c r="N18" s="3">
        <v>457.43</v>
      </c>
      <c r="O18" s="62">
        <v>61.51</v>
      </c>
      <c r="Y18" s="25" t="s">
        <v>167</v>
      </c>
      <c r="Z18" s="29">
        <f>Z19-Z17</f>
        <v>1700791</v>
      </c>
      <c r="AA18" s="29">
        <f t="shared" ref="AA18:AL18" si="7">AA19-AA17</f>
        <v>2197140</v>
      </c>
      <c r="AB18" s="29">
        <f t="shared" si="7"/>
        <v>2369984</v>
      </c>
      <c r="AC18" s="29">
        <f t="shared" si="7"/>
        <v>3074008</v>
      </c>
      <c r="AD18" s="29">
        <f t="shared" si="7"/>
        <v>3570815</v>
      </c>
      <c r="AE18" s="29">
        <f t="shared" si="7"/>
        <v>3774601</v>
      </c>
      <c r="AF18" s="29">
        <f t="shared" si="7"/>
        <v>4208260</v>
      </c>
      <c r="AG18" s="29">
        <f t="shared" si="7"/>
        <v>5207524</v>
      </c>
      <c r="AH18" s="29">
        <f t="shared" si="7"/>
        <v>4821592</v>
      </c>
      <c r="AI18" s="29">
        <f t="shared" si="7"/>
        <v>3933240</v>
      </c>
      <c r="AJ18" s="29">
        <f t="shared" si="7"/>
        <v>3931095</v>
      </c>
      <c r="AK18" s="29">
        <f t="shared" si="7"/>
        <v>3853171</v>
      </c>
      <c r="AL18" s="30">
        <f t="shared" si="7"/>
        <v>4022435</v>
      </c>
    </row>
    <row r="19" spans="1:38">
      <c r="A19" s="24">
        <v>1966</v>
      </c>
      <c r="B19" s="6">
        <f t="shared" ref="B19:B33" si="8">B18+(B$34-B$17)/($A$34-$A$17)</f>
        <v>0.24595473247008601</v>
      </c>
      <c r="C19" s="81">
        <f t="shared" si="2"/>
        <v>0.75404526752991397</v>
      </c>
      <c r="D19" s="6">
        <f t="shared" ref="D19:D33" si="9">D18+(D$34-D$17)/($A$34-$A$17)</f>
        <v>0.3157629968777555</v>
      </c>
      <c r="E19" s="81">
        <f t="shared" si="3"/>
        <v>0.68423700312224445</v>
      </c>
      <c r="F19" s="6"/>
      <c r="G19" s="6"/>
      <c r="I19" s="75">
        <v>2002</v>
      </c>
      <c r="J19" s="3">
        <v>3255.96</v>
      </c>
      <c r="K19" s="3">
        <v>285.39999999999998</v>
      </c>
      <c r="L19" s="62">
        <v>157.03</v>
      </c>
      <c r="M19" s="3">
        <v>2951.7</v>
      </c>
      <c r="N19" s="3">
        <v>492.71</v>
      </c>
      <c r="O19" s="62">
        <v>72.5</v>
      </c>
      <c r="Y19" s="25" t="s">
        <v>7</v>
      </c>
      <c r="Z19" s="29">
        <v>2571142</v>
      </c>
      <c r="AA19" s="29">
        <v>3262198</v>
      </c>
      <c r="AB19" s="29">
        <v>3668939</v>
      </c>
      <c r="AC19" s="29">
        <v>4655070</v>
      </c>
      <c r="AD19" s="29">
        <v>5334563</v>
      </c>
      <c r="AE19" s="29">
        <v>5264424</v>
      </c>
      <c r="AF19" s="29">
        <v>6322513</v>
      </c>
      <c r="AG19" s="29">
        <v>7494479</v>
      </c>
      <c r="AH19" s="29">
        <v>9397520</v>
      </c>
      <c r="AI19" s="29">
        <v>4589733</v>
      </c>
      <c r="AJ19" s="29">
        <v>4676505</v>
      </c>
      <c r="AK19" s="29">
        <v>4881267</v>
      </c>
      <c r="AL19" s="30">
        <v>5409564</v>
      </c>
    </row>
    <row r="20" spans="1:38">
      <c r="A20" s="24">
        <v>1967</v>
      </c>
      <c r="B20" s="6">
        <f t="shared" si="8"/>
        <v>0.24072130389800594</v>
      </c>
      <c r="C20" s="81">
        <f t="shared" si="2"/>
        <v>0.75927869610199406</v>
      </c>
      <c r="D20" s="6">
        <f t="shared" si="9"/>
        <v>0.30760416000516894</v>
      </c>
      <c r="E20" s="81">
        <f t="shared" si="3"/>
        <v>0.69239583999483112</v>
      </c>
      <c r="F20" s="6"/>
      <c r="G20" s="6"/>
      <c r="I20" s="75">
        <v>2003</v>
      </c>
      <c r="J20" s="3">
        <v>4382.28</v>
      </c>
      <c r="K20" s="3">
        <v>348.12</v>
      </c>
      <c r="L20" s="62">
        <v>186.65</v>
      </c>
      <c r="M20" s="3">
        <v>4127.6000000000004</v>
      </c>
      <c r="N20" s="3">
        <v>727.63</v>
      </c>
      <c r="O20" s="62">
        <v>94.5</v>
      </c>
      <c r="R20" s="138" t="s">
        <v>173</v>
      </c>
      <c r="S20" s="139"/>
      <c r="T20" s="139"/>
      <c r="U20" s="139"/>
      <c r="V20" s="139"/>
      <c r="W20" s="140"/>
    </row>
    <row r="21" spans="1:38">
      <c r="A21" s="24">
        <v>1968</v>
      </c>
      <c r="B21" s="6">
        <f t="shared" si="8"/>
        <v>0.23548787532592588</v>
      </c>
      <c r="C21" s="81">
        <f t="shared" si="2"/>
        <v>0.76451212467407414</v>
      </c>
      <c r="D21" s="6">
        <f t="shared" si="9"/>
        <v>0.29944532313258237</v>
      </c>
      <c r="E21" s="81">
        <f t="shared" si="3"/>
        <v>0.70055467686741757</v>
      </c>
      <c r="F21" s="6"/>
      <c r="G21" s="6"/>
      <c r="I21" s="75">
        <v>2004</v>
      </c>
      <c r="J21" s="3">
        <v>5933.26</v>
      </c>
      <c r="K21" s="3">
        <v>405.49</v>
      </c>
      <c r="L21" s="62">
        <v>202.25999999999996</v>
      </c>
      <c r="M21" s="3">
        <v>5612.29</v>
      </c>
      <c r="N21" s="3">
        <v>1172.67</v>
      </c>
      <c r="O21" s="62">
        <v>139.16000000000003</v>
      </c>
      <c r="R21" s="138" t="s">
        <v>13</v>
      </c>
      <c r="S21" s="139"/>
      <c r="T21" s="140"/>
      <c r="U21" s="139" t="s">
        <v>14</v>
      </c>
      <c r="V21" s="139"/>
      <c r="W21" s="140"/>
      <c r="Y21" s="133" t="s">
        <v>48</v>
      </c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</row>
    <row r="22" spans="1:38">
      <c r="A22" s="24">
        <v>1969</v>
      </c>
      <c r="B22" s="6">
        <f t="shared" si="8"/>
        <v>0.23025444675384582</v>
      </c>
      <c r="C22" s="81">
        <f t="shared" si="2"/>
        <v>0.76974555324615412</v>
      </c>
      <c r="D22" s="6">
        <f t="shared" si="9"/>
        <v>0.29128648625999581</v>
      </c>
      <c r="E22" s="81">
        <f t="shared" si="3"/>
        <v>0.70871351374000424</v>
      </c>
      <c r="F22" s="6"/>
      <c r="G22" s="6"/>
      <c r="I22" s="75">
        <v>2005</v>
      </c>
      <c r="J22" s="3">
        <v>7619.53</v>
      </c>
      <c r="K22" s="3">
        <v>490.37</v>
      </c>
      <c r="L22" s="62">
        <v>239.31000000000003</v>
      </c>
      <c r="M22" s="3">
        <v>6599.53</v>
      </c>
      <c r="N22" s="3">
        <v>1477.14</v>
      </c>
      <c r="O22" s="62">
        <v>135.41</v>
      </c>
      <c r="Q22" s="11" t="s">
        <v>0</v>
      </c>
      <c r="R22" s="52" t="s">
        <v>7</v>
      </c>
      <c r="S22" s="52" t="s">
        <v>64</v>
      </c>
      <c r="T22" s="72" t="s">
        <v>102</v>
      </c>
      <c r="U22" s="52" t="s">
        <v>7</v>
      </c>
      <c r="V22" s="52" t="s">
        <v>64</v>
      </c>
      <c r="W22" s="72" t="s">
        <v>102</v>
      </c>
      <c r="Y22" s="10"/>
      <c r="Z22" s="77">
        <v>1952</v>
      </c>
      <c r="AA22" s="77">
        <v>1953</v>
      </c>
      <c r="AB22" s="77">
        <v>1954</v>
      </c>
      <c r="AC22" s="77">
        <v>1955</v>
      </c>
      <c r="AD22" s="77">
        <v>1956</v>
      </c>
      <c r="AE22" s="77">
        <v>1957</v>
      </c>
      <c r="AF22" s="77">
        <v>1958</v>
      </c>
      <c r="AG22" s="77">
        <v>1959</v>
      </c>
      <c r="AH22" s="77">
        <v>1960</v>
      </c>
      <c r="AI22" s="77">
        <v>1961</v>
      </c>
      <c r="AJ22" s="77">
        <v>1962</v>
      </c>
      <c r="AK22" s="77">
        <v>1963</v>
      </c>
      <c r="AL22" s="70">
        <v>1964</v>
      </c>
    </row>
    <row r="23" spans="1:38">
      <c r="A23" s="24">
        <v>1970</v>
      </c>
      <c r="B23" s="6">
        <f t="shared" si="8"/>
        <v>0.22502101818176576</v>
      </c>
      <c r="C23" s="81">
        <f t="shared" si="2"/>
        <v>0.77497898181823421</v>
      </c>
      <c r="D23" s="6">
        <f t="shared" si="9"/>
        <v>0.28312764938740925</v>
      </c>
      <c r="E23" s="81">
        <f t="shared" si="3"/>
        <v>0.71687235061259069</v>
      </c>
      <c r="F23" s="6"/>
      <c r="G23" s="6"/>
      <c r="I23" s="75">
        <v>2006</v>
      </c>
      <c r="J23" s="3">
        <v>9689.7800000000007</v>
      </c>
      <c r="K23" s="3">
        <v>529.19000000000005</v>
      </c>
      <c r="L23" s="62">
        <v>272.89000000000004</v>
      </c>
      <c r="M23" s="3">
        <v>7914.6086800000003</v>
      </c>
      <c r="N23" s="3">
        <v>1871.2856899999999</v>
      </c>
      <c r="O23" s="62">
        <v>149.71326999999999</v>
      </c>
      <c r="Q23" s="75">
        <v>1981</v>
      </c>
      <c r="R23" s="4">
        <v>21619896</v>
      </c>
      <c r="S23" s="4">
        <v>2897535</v>
      </c>
      <c r="T23" s="18">
        <f>R23-S23</f>
        <v>18722361</v>
      </c>
      <c r="U23" s="4">
        <v>18429030</v>
      </c>
      <c r="V23" s="4">
        <v>3563814</v>
      </c>
      <c r="W23" s="18">
        <f>U23-V23</f>
        <v>14865216</v>
      </c>
      <c r="Y23" s="24" t="s">
        <v>37</v>
      </c>
      <c r="Z23">
        <v>463</v>
      </c>
      <c r="AA23">
        <v>7436</v>
      </c>
      <c r="AB23">
        <v>4627</v>
      </c>
      <c r="AC23">
        <v>6887</v>
      </c>
      <c r="AD23">
        <v>11871</v>
      </c>
      <c r="AE23">
        <v>10768</v>
      </c>
      <c r="AF23">
        <v>33630</v>
      </c>
      <c r="AG23">
        <v>21918</v>
      </c>
      <c r="AH23">
        <v>25693</v>
      </c>
      <c r="AI23">
        <v>13124</v>
      </c>
      <c r="AJ23">
        <v>21252</v>
      </c>
      <c r="AK23">
        <v>22786</v>
      </c>
      <c r="AL23" s="28">
        <v>2118</v>
      </c>
    </row>
    <row r="24" spans="1:38">
      <c r="A24" s="24">
        <v>1971</v>
      </c>
      <c r="B24" s="6">
        <f t="shared" si="8"/>
        <v>0.2197875896096857</v>
      </c>
      <c r="C24" s="81">
        <f t="shared" si="2"/>
        <v>0.7802124103903143</v>
      </c>
      <c r="D24" s="6">
        <f t="shared" si="9"/>
        <v>0.27496881251482269</v>
      </c>
      <c r="E24" s="81">
        <f t="shared" si="3"/>
        <v>0.72503118748517736</v>
      </c>
      <c r="F24" s="6"/>
      <c r="G24" s="6"/>
      <c r="I24" s="75">
        <v>2007</v>
      </c>
      <c r="J24" s="3">
        <v>12204.56</v>
      </c>
      <c r="K24" s="3">
        <v>615.09100999999998</v>
      </c>
      <c r="L24" s="62">
        <v>324.41938000000005</v>
      </c>
      <c r="M24" s="3">
        <v>9561.16</v>
      </c>
      <c r="N24" s="3">
        <v>2430.8544099999999</v>
      </c>
      <c r="O24" s="62">
        <v>202.45126999999999</v>
      </c>
      <c r="Q24" s="75">
        <v>1982</v>
      </c>
      <c r="R24" s="4">
        <v>21895944</v>
      </c>
      <c r="S24" s="4">
        <v>2914574</v>
      </c>
      <c r="T24" s="18">
        <f t="shared" ref="T24:T42" si="10">R24-S24</f>
        <v>18981370</v>
      </c>
      <c r="U24" s="4">
        <v>18069535</v>
      </c>
      <c r="V24" s="4">
        <v>4124823</v>
      </c>
      <c r="W24" s="18">
        <f t="shared" ref="W24:W42" si="11">U24-V24</f>
        <v>13944712</v>
      </c>
      <c r="Y24" s="24" t="s">
        <v>38</v>
      </c>
      <c r="Z24">
        <v>2</v>
      </c>
      <c r="AA24">
        <v>5</v>
      </c>
      <c r="AB24">
        <v>1398</v>
      </c>
      <c r="AC24">
        <v>361</v>
      </c>
      <c r="AD24">
        <v>22</v>
      </c>
      <c r="AE24">
        <v>0</v>
      </c>
      <c r="AF24">
        <v>0</v>
      </c>
      <c r="AG24">
        <v>87</v>
      </c>
      <c r="AH24">
        <v>3</v>
      </c>
      <c r="AI24">
        <v>0</v>
      </c>
      <c r="AJ24">
        <v>609</v>
      </c>
      <c r="AK24">
        <v>1151</v>
      </c>
      <c r="AL24" s="28">
        <v>20</v>
      </c>
    </row>
    <row r="25" spans="1:38">
      <c r="A25" s="24">
        <v>1972</v>
      </c>
      <c r="B25" s="6">
        <f t="shared" si="8"/>
        <v>0.21455416103760563</v>
      </c>
      <c r="C25" s="81">
        <f t="shared" si="2"/>
        <v>0.78544583896239439</v>
      </c>
      <c r="D25" s="6">
        <f t="shared" si="9"/>
        <v>0.26680997564223613</v>
      </c>
      <c r="E25" s="81">
        <f t="shared" si="3"/>
        <v>0.73319002435776381</v>
      </c>
      <c r="F25" s="6"/>
      <c r="G25" s="6"/>
      <c r="I25" s="75">
        <v>2008</v>
      </c>
      <c r="J25" s="3">
        <v>14306.930660800001</v>
      </c>
      <c r="K25" s="3">
        <v>779.56931999999995</v>
      </c>
      <c r="L25" s="62">
        <v>348.65107999999998</v>
      </c>
      <c r="M25" s="3">
        <v>11325.67</v>
      </c>
      <c r="N25" s="3">
        <v>3623.9470999999999</v>
      </c>
      <c r="O25" s="62">
        <v>264.57587000000001</v>
      </c>
      <c r="Q25" s="75">
        <v>1983</v>
      </c>
      <c r="R25" s="4">
        <v>22137733</v>
      </c>
      <c r="S25" s="4">
        <v>2904400</v>
      </c>
      <c r="T25" s="18">
        <f t="shared" si="10"/>
        <v>19233333</v>
      </c>
      <c r="U25" s="4">
        <v>21335026</v>
      </c>
      <c r="V25" s="4">
        <v>3114277</v>
      </c>
      <c r="W25" s="18">
        <f t="shared" si="11"/>
        <v>18220749</v>
      </c>
      <c r="Y25" s="24" t="s">
        <v>39</v>
      </c>
      <c r="Z25">
        <v>63</v>
      </c>
      <c r="AA25">
        <v>694</v>
      </c>
      <c r="AB25">
        <v>2645</v>
      </c>
      <c r="AC25">
        <v>299</v>
      </c>
      <c r="AD25">
        <v>464</v>
      </c>
      <c r="AE25">
        <v>175</v>
      </c>
      <c r="AF25">
        <v>2597</v>
      </c>
      <c r="AG25">
        <v>807</v>
      </c>
      <c r="AH25">
        <v>777</v>
      </c>
      <c r="AI25">
        <v>746</v>
      </c>
      <c r="AJ25">
        <v>1223</v>
      </c>
      <c r="AK25">
        <v>539</v>
      </c>
      <c r="AL25" s="28">
        <v>230</v>
      </c>
    </row>
    <row r="26" spans="1:38">
      <c r="A26" s="24">
        <v>1973</v>
      </c>
      <c r="B26" s="6">
        <f t="shared" si="8"/>
        <v>0.20932073246552557</v>
      </c>
      <c r="C26" s="81">
        <f t="shared" si="2"/>
        <v>0.79067926753447448</v>
      </c>
      <c r="D26" s="6">
        <f t="shared" si="9"/>
        <v>0.25865113876964957</v>
      </c>
      <c r="E26" s="81">
        <f t="shared" si="3"/>
        <v>0.74134886123035049</v>
      </c>
      <c r="F26" s="6"/>
      <c r="G26" s="6"/>
      <c r="I26" s="75">
        <v>2009</v>
      </c>
      <c r="J26" s="3">
        <v>12016.118060000001</v>
      </c>
      <c r="K26" s="3">
        <v>631.11793999999998</v>
      </c>
      <c r="L26" s="62">
        <v>345.84985</v>
      </c>
      <c r="M26" s="3">
        <v>10059.231959999999</v>
      </c>
      <c r="N26" s="3">
        <v>2898.0419400000001</v>
      </c>
      <c r="O26" s="62">
        <v>244.19905</v>
      </c>
      <c r="Q26" s="75">
        <v>1984</v>
      </c>
      <c r="R26" s="4">
        <v>25024014</v>
      </c>
      <c r="S26" s="4">
        <v>3169791</v>
      </c>
      <c r="T26" s="18">
        <f t="shared" si="10"/>
        <v>21854223</v>
      </c>
      <c r="U26" s="4">
        <v>26429954</v>
      </c>
      <c r="V26" s="4">
        <v>2226075</v>
      </c>
      <c r="W26" s="18">
        <f t="shared" si="11"/>
        <v>24203879</v>
      </c>
      <c r="Y26" s="24" t="s">
        <v>40</v>
      </c>
      <c r="Z26">
        <v>1704</v>
      </c>
      <c r="AA26">
        <v>4457</v>
      </c>
      <c r="AB26">
        <v>55109</v>
      </c>
      <c r="AC26">
        <v>6565</v>
      </c>
      <c r="AD26">
        <v>7577</v>
      </c>
      <c r="AE26">
        <v>9101</v>
      </c>
      <c r="AF26">
        <v>14789</v>
      </c>
      <c r="AG26">
        <v>15658</v>
      </c>
      <c r="AH26">
        <v>10377</v>
      </c>
      <c r="AI26">
        <v>5391</v>
      </c>
      <c r="AJ26">
        <v>6903</v>
      </c>
      <c r="AK26">
        <v>5882</v>
      </c>
      <c r="AL26" s="28">
        <v>6546</v>
      </c>
    </row>
    <row r="27" spans="1:38">
      <c r="A27" s="24">
        <v>1974</v>
      </c>
      <c r="B27" s="6">
        <f t="shared" si="8"/>
        <v>0.20408730389344551</v>
      </c>
      <c r="C27" s="81">
        <f t="shared" si="2"/>
        <v>0.79591269610655446</v>
      </c>
      <c r="D27" s="6">
        <f t="shared" si="9"/>
        <v>0.25049230189706301</v>
      </c>
      <c r="E27" s="81">
        <f t="shared" si="3"/>
        <v>0.74950769810293694</v>
      </c>
      <c r="F27" s="6"/>
      <c r="G27" s="6"/>
      <c r="I27" s="75">
        <v>2010</v>
      </c>
      <c r="J27" s="3">
        <v>15777.54315</v>
      </c>
      <c r="K27" s="3">
        <v>816.85754999999995</v>
      </c>
      <c r="L27" s="62">
        <v>434.09634999999997</v>
      </c>
      <c r="M27" s="3">
        <v>13962.440060000001</v>
      </c>
      <c r="N27" s="3">
        <v>4338.4992199999997</v>
      </c>
      <c r="O27" s="62">
        <v>327.38783999999998</v>
      </c>
      <c r="Q27" s="75">
        <v>1985</v>
      </c>
      <c r="R27" s="4">
        <v>22295787</v>
      </c>
      <c r="S27" s="4">
        <v>3931805</v>
      </c>
      <c r="T27" s="18">
        <f t="shared" si="10"/>
        <v>18363982</v>
      </c>
      <c r="U27" s="4">
        <v>42056284</v>
      </c>
      <c r="V27" s="4">
        <v>1575432</v>
      </c>
      <c r="W27" s="18">
        <f t="shared" si="11"/>
        <v>40480852</v>
      </c>
      <c r="Y27" s="24" t="s">
        <v>41</v>
      </c>
      <c r="Z27">
        <v>75</v>
      </c>
      <c r="AA27">
        <v>79</v>
      </c>
      <c r="AB27">
        <v>1841</v>
      </c>
      <c r="AC27">
        <v>25992</v>
      </c>
      <c r="AD27">
        <v>2539</v>
      </c>
      <c r="AE27">
        <v>3944</v>
      </c>
      <c r="AF27">
        <v>31900</v>
      </c>
      <c r="AG27">
        <v>1205</v>
      </c>
      <c r="AH27">
        <v>5516</v>
      </c>
      <c r="AI27">
        <v>848330</v>
      </c>
      <c r="AJ27">
        <v>885600</v>
      </c>
      <c r="AK27">
        <v>918401</v>
      </c>
      <c r="AL27" s="28">
        <v>1145669</v>
      </c>
    </row>
    <row r="28" spans="1:38">
      <c r="A28" s="24">
        <v>1975</v>
      </c>
      <c r="B28" s="6">
        <f t="shared" si="8"/>
        <v>0.19885387532136545</v>
      </c>
      <c r="C28" s="81">
        <f t="shared" si="2"/>
        <v>0.80114612467863455</v>
      </c>
      <c r="D28" s="6">
        <f t="shared" si="9"/>
        <v>0.24233346502447645</v>
      </c>
      <c r="E28" s="81">
        <f t="shared" si="3"/>
        <v>0.75766653497552361</v>
      </c>
      <c r="F28" s="6"/>
      <c r="G28" s="6"/>
      <c r="I28" s="75">
        <v>2011</v>
      </c>
      <c r="J28" s="3">
        <v>18983.810000000001</v>
      </c>
      <c r="K28" s="3">
        <v>1005.45</v>
      </c>
      <c r="L28" s="62">
        <v>532.95000000000005</v>
      </c>
      <c r="M28" s="3">
        <v>17434.84</v>
      </c>
      <c r="N28" s="3">
        <v>6042.69</v>
      </c>
      <c r="O28" s="62">
        <v>435.71000000000004</v>
      </c>
      <c r="Q28" s="75">
        <v>1986</v>
      </c>
      <c r="R28" s="4">
        <v>31365374</v>
      </c>
      <c r="S28" s="4">
        <v>4593001</v>
      </c>
      <c r="T28" s="18">
        <f t="shared" si="10"/>
        <v>26772373</v>
      </c>
      <c r="U28" s="4">
        <v>42257512</v>
      </c>
      <c r="V28" s="4">
        <v>1633609</v>
      </c>
      <c r="W28" s="18">
        <f t="shared" si="11"/>
        <v>40623903</v>
      </c>
      <c r="Y28" s="24" t="s">
        <v>42</v>
      </c>
      <c r="Z28">
        <v>30</v>
      </c>
      <c r="AA28">
        <v>1220</v>
      </c>
      <c r="AB28">
        <v>2331</v>
      </c>
      <c r="AC28">
        <v>10538</v>
      </c>
      <c r="AD28">
        <v>1901</v>
      </c>
      <c r="AE28">
        <v>2089</v>
      </c>
      <c r="AF28">
        <v>7823</v>
      </c>
      <c r="AG28">
        <v>16813</v>
      </c>
      <c r="AH28">
        <v>14002</v>
      </c>
      <c r="AI28">
        <v>16208</v>
      </c>
      <c r="AJ28">
        <v>21854</v>
      </c>
      <c r="AK28">
        <v>23084</v>
      </c>
      <c r="AL28" s="28">
        <v>18798</v>
      </c>
    </row>
    <row r="29" spans="1:38">
      <c r="A29" s="24">
        <v>1976</v>
      </c>
      <c r="B29" s="6">
        <f t="shared" si="8"/>
        <v>0.19362044674928539</v>
      </c>
      <c r="C29" s="81">
        <f t="shared" si="2"/>
        <v>0.80637955325071464</v>
      </c>
      <c r="D29" s="6">
        <f t="shared" si="9"/>
        <v>0.23417462815188989</v>
      </c>
      <c r="E29" s="81">
        <f t="shared" si="3"/>
        <v>0.76582537184811006</v>
      </c>
      <c r="F29" s="6"/>
      <c r="G29" s="80"/>
      <c r="H29" s="71"/>
      <c r="I29" s="76">
        <v>2012</v>
      </c>
      <c r="J29" s="78">
        <v>20487.144189999999</v>
      </c>
      <c r="K29" s="78">
        <v>1005.58212</v>
      </c>
      <c r="L29" s="79">
        <v>552.09787000000006</v>
      </c>
      <c r="M29" s="78">
        <v>18184.050029999999</v>
      </c>
      <c r="N29" s="78">
        <v>6349.3418300000003</v>
      </c>
      <c r="O29" s="79">
        <v>521.89757999999995</v>
      </c>
      <c r="Q29" s="75">
        <v>1987</v>
      </c>
      <c r="R29" s="4">
        <v>36869193</v>
      </c>
      <c r="S29" s="4">
        <v>4948186</v>
      </c>
      <c r="T29" s="18">
        <f t="shared" si="10"/>
        <v>31921007</v>
      </c>
      <c r="U29" s="4">
        <v>42859860</v>
      </c>
      <c r="V29" s="4">
        <v>2433896</v>
      </c>
      <c r="W29" s="18">
        <f t="shared" si="11"/>
        <v>40425964</v>
      </c>
      <c r="Y29" s="24" t="s">
        <v>43</v>
      </c>
      <c r="Z29">
        <v>43370</v>
      </c>
      <c r="AA29">
        <v>40809</v>
      </c>
      <c r="AB29">
        <v>22906</v>
      </c>
      <c r="AC29">
        <v>43058</v>
      </c>
      <c r="AD29">
        <v>57068</v>
      </c>
      <c r="AE29">
        <v>42977</v>
      </c>
      <c r="AF29">
        <v>50638</v>
      </c>
      <c r="AG29">
        <v>12530</v>
      </c>
      <c r="AH29">
        <v>37421</v>
      </c>
      <c r="AI29">
        <v>441150</v>
      </c>
      <c r="AJ29">
        <v>262896</v>
      </c>
      <c r="AK29">
        <v>187673</v>
      </c>
      <c r="AL29" s="28">
        <v>156855</v>
      </c>
    </row>
    <row r="30" spans="1:38">
      <c r="A30" s="24">
        <v>1977</v>
      </c>
      <c r="B30" s="6">
        <f t="shared" si="8"/>
        <v>0.18838701817720532</v>
      </c>
      <c r="C30" s="81">
        <f t="shared" si="2"/>
        <v>0.81161298182279462</v>
      </c>
      <c r="D30" s="6">
        <f t="shared" si="9"/>
        <v>0.22601579127930332</v>
      </c>
      <c r="E30" s="81">
        <f t="shared" si="3"/>
        <v>0.77398420872069673</v>
      </c>
      <c r="F30" s="6"/>
      <c r="G30" s="6"/>
      <c r="Q30" s="75">
        <v>1988</v>
      </c>
      <c r="R30" s="4">
        <v>47688138</v>
      </c>
      <c r="S30" s="4">
        <v>6074617</v>
      </c>
      <c r="T30" s="18">
        <f t="shared" si="10"/>
        <v>41613521</v>
      </c>
      <c r="U30" s="4">
        <v>55433064</v>
      </c>
      <c r="V30" s="4">
        <v>3581674</v>
      </c>
      <c r="W30" s="18">
        <f t="shared" si="11"/>
        <v>51851390</v>
      </c>
      <c r="Y30" s="24" t="s">
        <v>44</v>
      </c>
      <c r="Z30">
        <v>2230</v>
      </c>
      <c r="AA30">
        <v>5502</v>
      </c>
      <c r="AB30">
        <v>73856</v>
      </c>
      <c r="AC30">
        <v>8325</v>
      </c>
      <c r="AD30">
        <v>9392</v>
      </c>
      <c r="AE30">
        <v>9956</v>
      </c>
      <c r="AF30">
        <v>7250</v>
      </c>
      <c r="AG30">
        <v>8029</v>
      </c>
      <c r="AH30">
        <v>6547</v>
      </c>
      <c r="AI30">
        <v>6043</v>
      </c>
      <c r="AJ30">
        <v>6533</v>
      </c>
      <c r="AK30">
        <v>4220</v>
      </c>
      <c r="AL30" s="28">
        <v>14054</v>
      </c>
    </row>
    <row r="31" spans="1:38">
      <c r="A31" s="24">
        <v>1978</v>
      </c>
      <c r="B31" s="6">
        <f t="shared" si="8"/>
        <v>0.18315358960512526</v>
      </c>
      <c r="C31" s="81">
        <f t="shared" si="2"/>
        <v>0.81684641039487471</v>
      </c>
      <c r="D31" s="6">
        <f t="shared" si="9"/>
        <v>0.21785695440671676</v>
      </c>
      <c r="E31" s="81">
        <f t="shared" si="3"/>
        <v>0.78214304559328318</v>
      </c>
      <c r="F31" s="6"/>
      <c r="G31" s="6"/>
      <c r="Q31" s="75">
        <v>1989</v>
      </c>
      <c r="R31" s="4">
        <v>52682056</v>
      </c>
      <c r="S31" s="4">
        <v>6424970</v>
      </c>
      <c r="T31" s="18">
        <f t="shared" si="10"/>
        <v>46257086</v>
      </c>
      <c r="U31" s="4">
        <v>59459566</v>
      </c>
      <c r="V31" s="4">
        <v>4335314</v>
      </c>
      <c r="W31" s="18">
        <f t="shared" si="11"/>
        <v>55124252</v>
      </c>
      <c r="Y31" s="24" t="s">
        <v>45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156</v>
      </c>
      <c r="AF31">
        <v>1596</v>
      </c>
      <c r="AG31">
        <v>1391</v>
      </c>
      <c r="AH31">
        <v>1077</v>
      </c>
      <c r="AI31">
        <v>1196</v>
      </c>
      <c r="AJ31">
        <v>960</v>
      </c>
      <c r="AK31">
        <v>1124</v>
      </c>
      <c r="AL31" s="28">
        <v>1091</v>
      </c>
    </row>
    <row r="32" spans="1:38">
      <c r="A32" s="24">
        <v>1979</v>
      </c>
      <c r="B32" s="6">
        <f t="shared" si="8"/>
        <v>0.1779201610330452</v>
      </c>
      <c r="C32" s="81">
        <f t="shared" si="2"/>
        <v>0.8220798389669548</v>
      </c>
      <c r="D32" s="6">
        <f t="shared" si="9"/>
        <v>0.2096981175341302</v>
      </c>
      <c r="E32" s="81">
        <f t="shared" si="3"/>
        <v>0.79030188246586985</v>
      </c>
      <c r="F32" s="148" t="s">
        <v>175</v>
      </c>
      <c r="G32" s="149"/>
      <c r="Q32" s="75">
        <v>1990</v>
      </c>
      <c r="R32" s="4">
        <v>62314712</v>
      </c>
      <c r="S32" s="4">
        <v>6895810</v>
      </c>
      <c r="T32" s="18">
        <f t="shared" si="10"/>
        <v>55418902</v>
      </c>
      <c r="U32" s="4">
        <v>53723175</v>
      </c>
      <c r="V32" s="4">
        <v>3485220</v>
      </c>
      <c r="W32" s="18">
        <f t="shared" si="11"/>
        <v>50237955</v>
      </c>
      <c r="Y32" s="24" t="s">
        <v>46</v>
      </c>
      <c r="Z32">
        <v>0</v>
      </c>
      <c r="AA32">
        <v>0</v>
      </c>
      <c r="AB32">
        <v>318</v>
      </c>
      <c r="AC32">
        <v>31</v>
      </c>
      <c r="AD32">
        <v>54</v>
      </c>
      <c r="AE32">
        <v>17</v>
      </c>
      <c r="AF32">
        <v>40</v>
      </c>
      <c r="AG32">
        <v>69</v>
      </c>
      <c r="AH32">
        <v>20</v>
      </c>
      <c r="AI32">
        <v>35</v>
      </c>
      <c r="AJ32">
        <v>295</v>
      </c>
      <c r="AK32">
        <v>50</v>
      </c>
      <c r="AL32" s="28">
        <v>85</v>
      </c>
    </row>
    <row r="33" spans="1:39">
      <c r="A33" s="24">
        <v>1980</v>
      </c>
      <c r="B33" s="6">
        <f t="shared" si="8"/>
        <v>0.17268673246096514</v>
      </c>
      <c r="C33" s="81">
        <f t="shared" si="2"/>
        <v>0.82731326753903489</v>
      </c>
      <c r="D33" s="6">
        <f t="shared" si="9"/>
        <v>0.20153928066154364</v>
      </c>
      <c r="E33" s="81">
        <f t="shared" si="3"/>
        <v>0.7984607193384563</v>
      </c>
      <c r="F33" s="83">
        <f>L5/J5</f>
        <v>0.17236050554666374</v>
      </c>
      <c r="G33" s="84">
        <f>O5/M5</f>
        <v>0.15996403057401207</v>
      </c>
      <c r="Q33" s="75">
        <v>1991</v>
      </c>
      <c r="R33" s="4">
        <v>72152000</v>
      </c>
      <c r="S33" s="4">
        <v>7594183</v>
      </c>
      <c r="T33" s="18">
        <f t="shared" si="10"/>
        <v>64557817</v>
      </c>
      <c r="U33" s="4">
        <v>63967191</v>
      </c>
      <c r="V33" s="4">
        <v>3002074</v>
      </c>
      <c r="W33" s="18">
        <f t="shared" si="11"/>
        <v>60965117</v>
      </c>
      <c r="Y33" s="25" t="s">
        <v>47</v>
      </c>
      <c r="Z33" s="29">
        <v>67</v>
      </c>
      <c r="AA33" s="29">
        <v>16</v>
      </c>
      <c r="AB33" s="29">
        <v>6765</v>
      </c>
      <c r="AC33" s="29">
        <v>350</v>
      </c>
      <c r="AD33" s="29">
        <v>209</v>
      </c>
      <c r="AE33" s="29">
        <v>0</v>
      </c>
      <c r="AF33" s="29">
        <v>12</v>
      </c>
      <c r="AG33" s="29">
        <v>48</v>
      </c>
      <c r="AH33" s="29">
        <v>1</v>
      </c>
      <c r="AI33" s="29">
        <v>0</v>
      </c>
      <c r="AJ33" s="29">
        <v>0</v>
      </c>
      <c r="AK33" s="29">
        <v>2</v>
      </c>
      <c r="AL33" s="30">
        <v>4</v>
      </c>
    </row>
    <row r="34" spans="1:39">
      <c r="A34" s="24">
        <v>1981</v>
      </c>
      <c r="B34" s="6">
        <f t="shared" ref="B34:B50" si="12">F34</f>
        <v>0.16745330388888491</v>
      </c>
      <c r="C34" s="81">
        <f>1-B34</f>
        <v>0.83254669611111509</v>
      </c>
      <c r="D34" s="6">
        <f>V23/U23</f>
        <v>0.19338044378895689</v>
      </c>
      <c r="E34" s="81">
        <f>1-D34</f>
        <v>0.80661955621104309</v>
      </c>
      <c r="F34" s="63">
        <f t="shared" ref="F34:G37" si="13">F33+(F$38-F$33)/5</f>
        <v>0.16745330388888491</v>
      </c>
      <c r="G34" s="81">
        <f t="shared" si="13"/>
        <v>0.13687494499314887</v>
      </c>
      <c r="Q34" s="75">
        <v>1992</v>
      </c>
      <c r="R34" s="4">
        <v>85420956</v>
      </c>
      <c r="S34" s="4">
        <v>8544500</v>
      </c>
      <c r="T34" s="18">
        <f t="shared" si="10"/>
        <v>76876456</v>
      </c>
      <c r="U34" s="4">
        <v>80512541</v>
      </c>
      <c r="V34" s="4">
        <v>3174099</v>
      </c>
      <c r="W34" s="18">
        <f t="shared" si="11"/>
        <v>77338442</v>
      </c>
      <c r="Y34" s="24" t="s">
        <v>166</v>
      </c>
      <c r="Z34">
        <f>SUM(Z23:Z33)</f>
        <v>48004</v>
      </c>
      <c r="AA34">
        <f t="shared" ref="AA34:AL34" si="14">SUM(AA23:AA33)</f>
        <v>60218</v>
      </c>
      <c r="AB34">
        <f t="shared" si="14"/>
        <v>171796</v>
      </c>
      <c r="AC34">
        <f t="shared" si="14"/>
        <v>102406</v>
      </c>
      <c r="AD34">
        <f t="shared" si="14"/>
        <v>91097</v>
      </c>
      <c r="AE34">
        <f t="shared" si="14"/>
        <v>79183</v>
      </c>
      <c r="AF34">
        <f t="shared" si="14"/>
        <v>150275</v>
      </c>
      <c r="AG34">
        <f t="shared" si="14"/>
        <v>78555</v>
      </c>
      <c r="AH34">
        <f t="shared" si="14"/>
        <v>101434</v>
      </c>
      <c r="AI34">
        <f t="shared" si="14"/>
        <v>1332223</v>
      </c>
      <c r="AJ34">
        <f t="shared" si="14"/>
        <v>1208125</v>
      </c>
      <c r="AK34">
        <f t="shared" si="14"/>
        <v>1164912</v>
      </c>
      <c r="AL34" s="28">
        <f t="shared" si="14"/>
        <v>1345470</v>
      </c>
    </row>
    <row r="35" spans="1:39">
      <c r="A35" s="24">
        <v>1982</v>
      </c>
      <c r="B35" s="6">
        <f t="shared" si="12"/>
        <v>0.16254610223110608</v>
      </c>
      <c r="C35" s="81">
        <f t="shared" ref="C35:C65" si="15">1-B35</f>
        <v>0.8374538977688939</v>
      </c>
      <c r="D35" s="6">
        <f>V24/U24</f>
        <v>0.22827499434822202</v>
      </c>
      <c r="E35" s="81">
        <f t="shared" ref="E35:E65" si="16">1-D35</f>
        <v>0.77172500565177793</v>
      </c>
      <c r="F35" s="63">
        <f t="shared" si="13"/>
        <v>0.16254610223110608</v>
      </c>
      <c r="G35" s="81">
        <f t="shared" si="13"/>
        <v>0.11378585941228567</v>
      </c>
      <c r="Q35" s="75">
        <v>1993</v>
      </c>
      <c r="R35" s="4">
        <v>91985890</v>
      </c>
      <c r="S35" s="4">
        <v>8616130</v>
      </c>
      <c r="T35" s="18">
        <f t="shared" si="10"/>
        <v>83369760</v>
      </c>
      <c r="U35" s="4">
        <v>104228916</v>
      </c>
      <c r="V35" s="4">
        <v>2241839</v>
      </c>
      <c r="W35" s="18">
        <f t="shared" si="11"/>
        <v>101987077</v>
      </c>
      <c r="Y35" s="25" t="s">
        <v>167</v>
      </c>
      <c r="Z35" s="29">
        <f>Z36-Z34</f>
        <v>2356248</v>
      </c>
      <c r="AA35" s="29">
        <f t="shared" ref="AA35:AL35" si="17">AA36-AA34</f>
        <v>2587331</v>
      </c>
      <c r="AB35" s="29">
        <f t="shared" si="17"/>
        <v>4072830</v>
      </c>
      <c r="AC35" s="29">
        <f t="shared" si="17"/>
        <v>3529458</v>
      </c>
      <c r="AD35" s="29">
        <f t="shared" si="17"/>
        <v>4138652</v>
      </c>
      <c r="AE35" s="29">
        <f t="shared" si="17"/>
        <v>4266446</v>
      </c>
      <c r="AF35" s="29">
        <f t="shared" si="17"/>
        <v>5202249</v>
      </c>
      <c r="AG35" s="29">
        <f t="shared" si="17"/>
        <v>6926357</v>
      </c>
      <c r="AH35" s="29">
        <f t="shared" si="17"/>
        <v>6247592</v>
      </c>
      <c r="AI35" s="29">
        <f t="shared" si="17"/>
        <v>3251722</v>
      </c>
      <c r="AJ35" s="29">
        <f t="shared" si="17"/>
        <v>2080953</v>
      </c>
      <c r="AK35" s="29">
        <f t="shared" si="17"/>
        <v>2270757</v>
      </c>
      <c r="AL35" s="30">
        <f t="shared" si="17"/>
        <v>2706166</v>
      </c>
    </row>
    <row r="36" spans="1:39">
      <c r="A36" s="24">
        <v>1983</v>
      </c>
      <c r="B36" s="6">
        <f t="shared" si="12"/>
        <v>0.15763890057332725</v>
      </c>
      <c r="C36" s="81">
        <f t="shared" si="15"/>
        <v>0.84236109942667281</v>
      </c>
      <c r="D36" s="6">
        <f>G36</f>
        <v>9.0696773831422467E-2</v>
      </c>
      <c r="E36" s="81">
        <f t="shared" si="16"/>
        <v>0.90930322616857751</v>
      </c>
      <c r="F36" s="63">
        <f t="shared" si="13"/>
        <v>0.15763890057332725</v>
      </c>
      <c r="G36" s="81">
        <f t="shared" si="13"/>
        <v>9.0696773831422467E-2</v>
      </c>
      <c r="Q36" s="75">
        <v>1994</v>
      </c>
      <c r="R36" s="4">
        <v>121558847</v>
      </c>
      <c r="S36" s="4">
        <v>10274238</v>
      </c>
      <c r="T36" s="18">
        <f t="shared" si="10"/>
        <v>111284609</v>
      </c>
      <c r="U36" s="4">
        <v>116309672</v>
      </c>
      <c r="V36" s="4">
        <v>3163679</v>
      </c>
      <c r="W36" s="18">
        <f t="shared" si="11"/>
        <v>113145993</v>
      </c>
      <c r="Y36" s="25" t="s">
        <v>7</v>
      </c>
      <c r="Z36" s="29">
        <v>2404252</v>
      </c>
      <c r="AA36" s="29">
        <v>2647549</v>
      </c>
      <c r="AB36" s="29">
        <v>4244626</v>
      </c>
      <c r="AC36" s="29">
        <v>3631864</v>
      </c>
      <c r="AD36" s="29">
        <v>4229749</v>
      </c>
      <c r="AE36" s="29">
        <v>4345629</v>
      </c>
      <c r="AF36" s="29">
        <v>5352524</v>
      </c>
      <c r="AG36" s="29">
        <v>7004912</v>
      </c>
      <c r="AH36" s="29">
        <v>6349026</v>
      </c>
      <c r="AI36" s="29">
        <v>4583945</v>
      </c>
      <c r="AJ36" s="29">
        <v>3289078</v>
      </c>
      <c r="AK36" s="29">
        <v>3435669</v>
      </c>
      <c r="AL36" s="30">
        <v>4051636</v>
      </c>
    </row>
    <row r="37" spans="1:39">
      <c r="A37" s="24">
        <v>1984</v>
      </c>
      <c r="B37" s="6">
        <f t="shared" si="12"/>
        <v>0.15273169891554841</v>
      </c>
      <c r="C37" s="81">
        <f t="shared" si="15"/>
        <v>0.84726830108445161</v>
      </c>
      <c r="D37" s="6">
        <f t="shared" ref="D37:D65" si="18">G37</f>
        <v>6.7607688250559267E-2</v>
      </c>
      <c r="E37" s="81">
        <f t="shared" si="16"/>
        <v>0.93239231174944071</v>
      </c>
      <c r="F37" s="63">
        <f t="shared" si="13"/>
        <v>0.15273169891554841</v>
      </c>
      <c r="G37" s="81">
        <f t="shared" si="13"/>
        <v>6.7607688250559267E-2</v>
      </c>
      <c r="Q37" s="75">
        <v>1995</v>
      </c>
      <c r="R37" s="4">
        <v>149658718</v>
      </c>
      <c r="S37" s="4">
        <v>10263490</v>
      </c>
      <c r="T37" s="18">
        <f t="shared" si="10"/>
        <v>139395228</v>
      </c>
      <c r="U37" s="4">
        <v>132448907</v>
      </c>
      <c r="V37" s="4">
        <v>6155871</v>
      </c>
      <c r="W37" s="18">
        <f t="shared" si="11"/>
        <v>126293036</v>
      </c>
    </row>
    <row r="38" spans="1:39">
      <c r="A38" s="24">
        <v>1985</v>
      </c>
      <c r="B38" s="6">
        <f t="shared" si="12"/>
        <v>0.14782449725776964</v>
      </c>
      <c r="C38" s="81">
        <f t="shared" si="15"/>
        <v>0.85217550274223042</v>
      </c>
      <c r="D38" s="6">
        <f t="shared" si="18"/>
        <v>4.4518602669696108E-2</v>
      </c>
      <c r="E38" s="81">
        <f t="shared" si="16"/>
        <v>0.95548139733030391</v>
      </c>
      <c r="F38" s="63">
        <f>L6/J6</f>
        <v>0.14782449725776964</v>
      </c>
      <c r="G38" s="81">
        <f>O6/M6</f>
        <v>4.4518602669696108E-2</v>
      </c>
      <c r="Q38" s="75">
        <v>1996</v>
      </c>
      <c r="R38" s="4">
        <v>152202013</v>
      </c>
      <c r="S38" s="4">
        <v>10544517</v>
      </c>
      <c r="T38" s="18">
        <f t="shared" si="10"/>
        <v>141657496</v>
      </c>
      <c r="U38" s="4">
        <v>138559031</v>
      </c>
      <c r="V38" s="4">
        <v>5696357</v>
      </c>
      <c r="W38" s="18">
        <f t="shared" si="11"/>
        <v>132862674</v>
      </c>
      <c r="Y38" s="147" t="s">
        <v>49</v>
      </c>
      <c r="Z38" s="147"/>
      <c r="AA38" s="147"/>
      <c r="AB38" s="147"/>
      <c r="AC38" s="147"/>
      <c r="AD38" s="147"/>
      <c r="AE38" s="147"/>
      <c r="AF38" s="147"/>
      <c r="AG38" s="147"/>
      <c r="AH38" s="147"/>
      <c r="AI38" s="147"/>
      <c r="AJ38" s="147"/>
      <c r="AK38" s="147"/>
      <c r="AL38" s="147"/>
      <c r="AM38" s="147"/>
    </row>
    <row r="39" spans="1:39">
      <c r="A39" s="24">
        <v>1986</v>
      </c>
      <c r="B39" s="6">
        <f t="shared" si="12"/>
        <v>0.1411679097999024</v>
      </c>
      <c r="C39" s="81">
        <f t="shared" si="15"/>
        <v>0.85883209020009765</v>
      </c>
      <c r="D39" s="6">
        <f t="shared" si="18"/>
        <v>5.2388712860285895E-2</v>
      </c>
      <c r="E39" s="81">
        <f t="shared" si="16"/>
        <v>0.9476112871397141</v>
      </c>
      <c r="F39" s="63">
        <f t="shared" ref="F39:G42" si="19">F38+(F$43-F$38)/5</f>
        <v>0.1411679097999024</v>
      </c>
      <c r="G39" s="81">
        <f t="shared" si="19"/>
        <v>5.2388712860285895E-2</v>
      </c>
      <c r="Q39" s="75">
        <v>1997</v>
      </c>
      <c r="R39" s="4">
        <v>184421976</v>
      </c>
      <c r="S39" s="4">
        <v>11389778</v>
      </c>
      <c r="T39" s="18">
        <f t="shared" si="10"/>
        <v>173032198</v>
      </c>
      <c r="U39" s="4">
        <v>141953476</v>
      </c>
      <c r="V39" s="4">
        <v>4364050</v>
      </c>
      <c r="W39" s="18">
        <f t="shared" si="11"/>
        <v>137589426</v>
      </c>
      <c r="Y39" s="68"/>
      <c r="Z39" s="139" t="s">
        <v>13</v>
      </c>
      <c r="AA39" s="139"/>
      <c r="AB39" s="139"/>
      <c r="AC39" s="139"/>
      <c r="AD39" s="139"/>
      <c r="AE39" s="139"/>
      <c r="AF39" s="140"/>
      <c r="AG39" s="139" t="s">
        <v>14</v>
      </c>
      <c r="AH39" s="139"/>
      <c r="AI39" s="139"/>
      <c r="AJ39" s="139"/>
      <c r="AK39" s="139"/>
      <c r="AL39" s="139"/>
      <c r="AM39" s="140"/>
    </row>
    <row r="40" spans="1:39">
      <c r="A40" s="24">
        <v>1987</v>
      </c>
      <c r="B40" s="6">
        <f t="shared" si="12"/>
        <v>0.13451132234203517</v>
      </c>
      <c r="C40" s="81">
        <f t="shared" si="15"/>
        <v>0.86548867765796489</v>
      </c>
      <c r="D40" s="6">
        <f t="shared" si="18"/>
        <v>6.0258823050875682E-2</v>
      </c>
      <c r="E40" s="81">
        <f t="shared" si="16"/>
        <v>0.93974117694912429</v>
      </c>
      <c r="F40" s="63">
        <f t="shared" si="19"/>
        <v>0.13451132234203517</v>
      </c>
      <c r="G40" s="81">
        <f t="shared" si="19"/>
        <v>6.0258823050875682E-2</v>
      </c>
      <c r="Q40" s="75">
        <v>1998</v>
      </c>
      <c r="R40" s="4">
        <v>185669906</v>
      </c>
      <c r="S40" s="4">
        <v>10997318</v>
      </c>
      <c r="T40" s="18">
        <f t="shared" si="10"/>
        <v>174672588</v>
      </c>
      <c r="U40" s="4">
        <v>139741306</v>
      </c>
      <c r="V40" s="4">
        <v>3888534</v>
      </c>
      <c r="W40" s="18">
        <f t="shared" si="11"/>
        <v>135852772</v>
      </c>
      <c r="Y40" s="10"/>
      <c r="Z40" s="77">
        <v>1981</v>
      </c>
      <c r="AA40" s="77">
        <v>1982</v>
      </c>
      <c r="AB40" s="77">
        <v>1983</v>
      </c>
      <c r="AC40" s="77">
        <v>1984</v>
      </c>
      <c r="AD40" s="77">
        <v>1985</v>
      </c>
      <c r="AE40" s="77">
        <v>1986</v>
      </c>
      <c r="AF40" s="70">
        <v>1987</v>
      </c>
      <c r="AG40" s="77">
        <v>1981</v>
      </c>
      <c r="AH40" s="77">
        <v>1982</v>
      </c>
      <c r="AI40" s="77">
        <v>1983</v>
      </c>
      <c r="AJ40" s="77">
        <v>1984</v>
      </c>
      <c r="AK40" s="77">
        <v>1985</v>
      </c>
      <c r="AL40" s="77">
        <v>1986</v>
      </c>
      <c r="AM40" s="70">
        <v>1987</v>
      </c>
    </row>
    <row r="41" spans="1:39">
      <c r="A41" s="24">
        <v>1988</v>
      </c>
      <c r="B41" s="6">
        <f t="shared" si="12"/>
        <v>0.12785473488416793</v>
      </c>
      <c r="C41" s="81">
        <f t="shared" si="15"/>
        <v>0.87214526511583212</v>
      </c>
      <c r="D41" s="6">
        <f t="shared" si="18"/>
        <v>6.8128933241465475E-2</v>
      </c>
      <c r="E41" s="81">
        <f t="shared" si="16"/>
        <v>0.93187106675853448</v>
      </c>
      <c r="F41" s="63">
        <f t="shared" si="19"/>
        <v>0.12785473488416793</v>
      </c>
      <c r="G41" s="81">
        <f t="shared" si="19"/>
        <v>6.8128933241465475E-2</v>
      </c>
      <c r="Q41" s="75">
        <v>1999</v>
      </c>
      <c r="R41" s="4">
        <v>196549565</v>
      </c>
      <c r="S41" s="4">
        <v>10837090</v>
      </c>
      <c r="T41" s="18">
        <f t="shared" si="10"/>
        <v>185712475</v>
      </c>
      <c r="U41" s="4">
        <v>165139788</v>
      </c>
      <c r="V41" s="4">
        <v>3703587</v>
      </c>
      <c r="W41" s="18">
        <f t="shared" si="11"/>
        <v>161436201</v>
      </c>
      <c r="Y41" s="24" t="s">
        <v>37</v>
      </c>
      <c r="Z41">
        <v>626939</v>
      </c>
      <c r="AA41">
        <v>683715</v>
      </c>
      <c r="AB41">
        <v>664773</v>
      </c>
      <c r="AC41">
        <v>720098</v>
      </c>
      <c r="AD41">
        <v>890431</v>
      </c>
      <c r="AE41">
        <v>1173387</v>
      </c>
      <c r="AF41" s="28">
        <v>1294420</v>
      </c>
      <c r="AG41">
        <v>4260</v>
      </c>
      <c r="AH41">
        <v>4907</v>
      </c>
      <c r="AI41">
        <v>5663</v>
      </c>
      <c r="AJ41">
        <v>8460</v>
      </c>
      <c r="AK41">
        <v>55449</v>
      </c>
      <c r="AL41">
        <v>42393</v>
      </c>
      <c r="AM41" s="28">
        <v>46768</v>
      </c>
    </row>
    <row r="42" spans="1:39">
      <c r="A42" s="24">
        <v>1989</v>
      </c>
      <c r="B42" s="6">
        <f t="shared" si="12"/>
        <v>0.1211981474263007</v>
      </c>
      <c r="C42" s="81">
        <f t="shared" si="15"/>
        <v>0.87880185257369936</v>
      </c>
      <c r="D42" s="6">
        <f t="shared" si="18"/>
        <v>7.5999043432055269E-2</v>
      </c>
      <c r="E42" s="81">
        <f t="shared" si="16"/>
        <v>0.92400095656794479</v>
      </c>
      <c r="F42" s="63">
        <f t="shared" si="19"/>
        <v>0.1211981474263007</v>
      </c>
      <c r="G42" s="81">
        <f t="shared" si="19"/>
        <v>7.5999043432055269E-2</v>
      </c>
      <c r="Q42" s="76">
        <v>2000</v>
      </c>
      <c r="R42" s="20">
        <v>250837644</v>
      </c>
      <c r="S42" s="20">
        <v>12670409</v>
      </c>
      <c r="T42" s="21">
        <f t="shared" si="10"/>
        <v>238167235</v>
      </c>
      <c r="U42" s="20">
        <v>224446440</v>
      </c>
      <c r="V42" s="20">
        <v>4826650</v>
      </c>
      <c r="W42" s="21">
        <f t="shared" si="11"/>
        <v>219619790</v>
      </c>
      <c r="Y42" s="24" t="s">
        <v>38</v>
      </c>
      <c r="Z42">
        <v>621783</v>
      </c>
      <c r="AA42">
        <v>903926</v>
      </c>
      <c r="AB42">
        <v>885621</v>
      </c>
      <c r="AC42">
        <v>1005804</v>
      </c>
      <c r="AD42">
        <v>1362923</v>
      </c>
      <c r="AE42">
        <v>1739744</v>
      </c>
      <c r="AF42" s="28">
        <v>1947322</v>
      </c>
      <c r="AG42">
        <v>389</v>
      </c>
      <c r="AH42">
        <v>1554</v>
      </c>
      <c r="AI42">
        <v>2732</v>
      </c>
      <c r="AJ42">
        <v>7378</v>
      </c>
      <c r="AK42">
        <v>20029</v>
      </c>
      <c r="AL42">
        <v>31603</v>
      </c>
      <c r="AM42" s="28">
        <v>67259</v>
      </c>
    </row>
    <row r="43" spans="1:39">
      <c r="A43" s="24">
        <v>1990</v>
      </c>
      <c r="B43" s="6">
        <f t="shared" si="12"/>
        <v>0.11454155996843345</v>
      </c>
      <c r="C43" s="81">
        <f t="shared" si="15"/>
        <v>0.8854584400315666</v>
      </c>
      <c r="D43" s="6">
        <f t="shared" si="18"/>
        <v>8.3869153622645048E-2</v>
      </c>
      <c r="E43" s="81">
        <f t="shared" si="16"/>
        <v>0.91613084637735498</v>
      </c>
      <c r="F43" s="63">
        <f t="shared" ref="F43:F64" si="20">L7/J7</f>
        <v>0.11454155996843345</v>
      </c>
      <c r="G43" s="81">
        <f t="shared" ref="G43:G65" si="21">O7/M7</f>
        <v>8.3869153622645048E-2</v>
      </c>
      <c r="Y43" s="24" t="s">
        <v>39</v>
      </c>
      <c r="Z43">
        <v>132049</v>
      </c>
      <c r="AA43">
        <v>144312</v>
      </c>
      <c r="AB43">
        <v>132390</v>
      </c>
      <c r="AC43">
        <v>164675</v>
      </c>
      <c r="AD43">
        <v>180921</v>
      </c>
      <c r="AE43">
        <v>242439</v>
      </c>
      <c r="AF43" s="28">
        <v>565792</v>
      </c>
      <c r="AG43">
        <v>31231</v>
      </c>
      <c r="AH43">
        <v>96872</v>
      </c>
      <c r="AI43">
        <v>35553</v>
      </c>
      <c r="AJ43">
        <v>53229</v>
      </c>
      <c r="AK43">
        <v>96103</v>
      </c>
      <c r="AL43">
        <v>170879</v>
      </c>
      <c r="AM43" s="28">
        <v>183894</v>
      </c>
    </row>
    <row r="44" spans="1:39">
      <c r="A44" s="24">
        <v>1991</v>
      </c>
      <c r="B44" s="6">
        <f t="shared" si="12"/>
        <v>0.1099290780141844</v>
      </c>
      <c r="C44" s="81">
        <f t="shared" si="15"/>
        <v>0.89007092198581561</v>
      </c>
      <c r="D44" s="6">
        <f t="shared" si="18"/>
        <v>5.828408396168739E-2</v>
      </c>
      <c r="E44" s="81">
        <f t="shared" si="16"/>
        <v>0.94171591603831262</v>
      </c>
      <c r="F44" s="63">
        <f t="shared" si="20"/>
        <v>0.1099290780141844</v>
      </c>
      <c r="G44" s="81">
        <f t="shared" si="21"/>
        <v>5.828408396168739E-2</v>
      </c>
      <c r="Y44" s="24" t="s">
        <v>40</v>
      </c>
      <c r="Z44">
        <v>624260</v>
      </c>
      <c r="AA44">
        <v>613116</v>
      </c>
      <c r="AB44">
        <v>581338</v>
      </c>
      <c r="AC44">
        <v>678143</v>
      </c>
      <c r="AD44">
        <v>845940</v>
      </c>
      <c r="AE44">
        <v>1723595</v>
      </c>
      <c r="AF44" s="28">
        <v>2396557</v>
      </c>
      <c r="AG44">
        <v>24557</v>
      </c>
      <c r="AH44">
        <v>41200</v>
      </c>
      <c r="AI44">
        <v>46903</v>
      </c>
      <c r="AJ44">
        <v>72419</v>
      </c>
      <c r="AK44">
        <v>130504</v>
      </c>
      <c r="AL44">
        <v>163736</v>
      </c>
      <c r="AM44" s="28">
        <v>216848</v>
      </c>
    </row>
    <row r="45" spans="1:39">
      <c r="A45" s="24">
        <v>1992</v>
      </c>
      <c r="B45" s="6">
        <f t="shared" si="12"/>
        <v>0.10793501295031788</v>
      </c>
      <c r="C45" s="81">
        <f t="shared" si="15"/>
        <v>0.89206498704968218</v>
      </c>
      <c r="D45" s="6">
        <f t="shared" si="18"/>
        <v>4.8520196066265432E-2</v>
      </c>
      <c r="E45" s="81">
        <f t="shared" si="16"/>
        <v>0.95147980393373455</v>
      </c>
      <c r="F45" s="63">
        <f t="shared" si="20"/>
        <v>0.10793501295031788</v>
      </c>
      <c r="G45" s="81">
        <f t="shared" si="21"/>
        <v>4.8520196066265432E-2</v>
      </c>
      <c r="Y45" s="24" t="s">
        <v>41</v>
      </c>
      <c r="Z45">
        <v>494205</v>
      </c>
      <c r="AA45">
        <v>414557</v>
      </c>
      <c r="AB45">
        <v>422692</v>
      </c>
      <c r="AC45">
        <v>1026110</v>
      </c>
      <c r="AD45">
        <v>3181105</v>
      </c>
      <c r="AE45">
        <v>3105529</v>
      </c>
      <c r="AF45" s="28">
        <v>2157682</v>
      </c>
      <c r="AG45">
        <v>5070242</v>
      </c>
      <c r="AH45">
        <v>6057831</v>
      </c>
      <c r="AI45">
        <v>4855020</v>
      </c>
      <c r="AJ45">
        <v>3992346</v>
      </c>
      <c r="AK45">
        <v>2853278</v>
      </c>
      <c r="AL45">
        <v>3391793</v>
      </c>
      <c r="AM45" s="28">
        <v>6285337</v>
      </c>
    </row>
    <row r="46" spans="1:39">
      <c r="A46" s="24">
        <v>1993</v>
      </c>
      <c r="B46" s="6">
        <f t="shared" si="12"/>
        <v>0.10360350540634809</v>
      </c>
      <c r="C46" s="81">
        <f t="shared" si="15"/>
        <v>0.89639649459365189</v>
      </c>
      <c r="D46" s="6">
        <f t="shared" si="18"/>
        <v>2.8405429063380755E-2</v>
      </c>
      <c r="E46" s="81">
        <f t="shared" si="16"/>
        <v>0.97159457093661927</v>
      </c>
      <c r="F46" s="63">
        <f t="shared" si="20"/>
        <v>0.10360350540634809</v>
      </c>
      <c r="G46" s="81">
        <f t="shared" si="21"/>
        <v>2.8405429063380755E-2</v>
      </c>
      <c r="Y46" s="24" t="s">
        <v>42</v>
      </c>
      <c r="Z46">
        <v>1411850</v>
      </c>
      <c r="AA46">
        <v>1518975</v>
      </c>
      <c r="AB46">
        <v>1588071</v>
      </c>
      <c r="AC46">
        <v>1842079</v>
      </c>
      <c r="AD46">
        <v>2467753</v>
      </c>
      <c r="AE46">
        <v>3840610</v>
      </c>
      <c r="AF46" s="28">
        <v>4809156</v>
      </c>
      <c r="AG46">
        <v>79363</v>
      </c>
      <c r="AH46">
        <v>119542</v>
      </c>
      <c r="AI46">
        <v>58834</v>
      </c>
      <c r="AJ46">
        <v>76807</v>
      </c>
      <c r="AK46">
        <v>150249</v>
      </c>
      <c r="AL46">
        <v>196680</v>
      </c>
      <c r="AM46" s="28">
        <v>203686</v>
      </c>
    </row>
    <row r="47" spans="1:39">
      <c r="A47" s="24">
        <v>1994</v>
      </c>
      <c r="B47" s="6">
        <f t="shared" si="12"/>
        <v>9.5135778391154169E-2</v>
      </c>
      <c r="C47" s="81">
        <f t="shared" si="15"/>
        <v>0.90486422160884583</v>
      </c>
      <c r="D47" s="6">
        <f t="shared" si="18"/>
        <v>4.336845018769353E-2</v>
      </c>
      <c r="E47" s="81">
        <f t="shared" si="16"/>
        <v>0.95663154981230647</v>
      </c>
      <c r="F47" s="63">
        <f t="shared" si="20"/>
        <v>9.5135778391154169E-2</v>
      </c>
      <c r="G47" s="81">
        <f t="shared" si="21"/>
        <v>4.336845018769353E-2</v>
      </c>
      <c r="Y47" s="24" t="s">
        <v>43</v>
      </c>
      <c r="Z47">
        <v>252130</v>
      </c>
      <c r="AA47">
        <v>181767</v>
      </c>
      <c r="AB47">
        <v>149394</v>
      </c>
      <c r="AC47">
        <v>121734</v>
      </c>
      <c r="AD47">
        <v>233908</v>
      </c>
      <c r="AE47">
        <v>445309</v>
      </c>
      <c r="AF47" s="28">
        <v>580537</v>
      </c>
      <c r="AG47">
        <v>744170</v>
      </c>
      <c r="AH47">
        <v>1218705</v>
      </c>
      <c r="AI47">
        <v>870103</v>
      </c>
      <c r="AJ47">
        <v>575772</v>
      </c>
      <c r="AK47">
        <v>831737</v>
      </c>
      <c r="AL47">
        <v>750758</v>
      </c>
      <c r="AM47" s="28">
        <v>1114543</v>
      </c>
    </row>
    <row r="48" spans="1:39">
      <c r="A48" s="24">
        <v>1995</v>
      </c>
      <c r="B48" s="6">
        <f t="shared" si="12"/>
        <v>7.9163866111036443E-2</v>
      </c>
      <c r="C48" s="81">
        <f t="shared" si="15"/>
        <v>0.92083613388896357</v>
      </c>
      <c r="D48" s="6">
        <f t="shared" si="18"/>
        <v>6.9130250446685443E-2</v>
      </c>
      <c r="E48" s="81">
        <f t="shared" si="16"/>
        <v>0.93086974955331458</v>
      </c>
      <c r="F48" s="63">
        <f t="shared" si="20"/>
        <v>7.9163866111036443E-2</v>
      </c>
      <c r="G48" s="81">
        <f t="shared" si="21"/>
        <v>6.9130250446685443E-2</v>
      </c>
      <c r="Y48" s="24" t="s">
        <v>44</v>
      </c>
      <c r="Z48">
        <v>481484</v>
      </c>
      <c r="AA48">
        <v>621544</v>
      </c>
      <c r="AB48">
        <v>704675</v>
      </c>
      <c r="AC48">
        <v>1006507</v>
      </c>
      <c r="AD48">
        <v>1309532</v>
      </c>
      <c r="AE48">
        <v>1633717</v>
      </c>
      <c r="AF48" s="28">
        <v>1823407</v>
      </c>
      <c r="AG48">
        <v>52731</v>
      </c>
      <c r="AH48">
        <v>141398</v>
      </c>
      <c r="AI48">
        <v>107722</v>
      </c>
      <c r="AJ48">
        <v>106710</v>
      </c>
      <c r="AK48">
        <v>121532</v>
      </c>
      <c r="AL48">
        <v>403166</v>
      </c>
      <c r="AM48" s="28">
        <v>293483</v>
      </c>
    </row>
    <row r="49" spans="1:45">
      <c r="A49" s="24">
        <v>1996</v>
      </c>
      <c r="B49" s="6">
        <f t="shared" si="12"/>
        <v>7.9107303638578472E-2</v>
      </c>
      <c r="C49" s="81">
        <f>1-B49</f>
        <v>0.92089269636142157</v>
      </c>
      <c r="D49" s="6">
        <f t="shared" si="18"/>
        <v>5.6657999178869579E-2</v>
      </c>
      <c r="E49" s="81">
        <f>1-D49</f>
        <v>0.9433420008211304</v>
      </c>
      <c r="F49" s="63">
        <f t="shared" si="20"/>
        <v>7.9107303638578472E-2</v>
      </c>
      <c r="G49" s="81">
        <f t="shared" si="21"/>
        <v>5.6657999178869579E-2</v>
      </c>
      <c r="Y49" s="24" t="s">
        <v>45</v>
      </c>
      <c r="Z49">
        <v>150979</v>
      </c>
      <c r="AA49">
        <v>204675</v>
      </c>
      <c r="AB49">
        <v>389232</v>
      </c>
      <c r="AC49">
        <v>502263</v>
      </c>
      <c r="AD49">
        <v>709053</v>
      </c>
      <c r="AE49">
        <v>1460471</v>
      </c>
      <c r="AF49" s="28">
        <v>2019481</v>
      </c>
      <c r="AG49">
        <v>38191</v>
      </c>
      <c r="AH49">
        <v>88538</v>
      </c>
      <c r="AI49">
        <v>150276</v>
      </c>
      <c r="AJ49">
        <v>204274</v>
      </c>
      <c r="AK49">
        <v>248774</v>
      </c>
      <c r="AL49">
        <v>338442</v>
      </c>
      <c r="AM49" s="28">
        <v>501601</v>
      </c>
    </row>
    <row r="50" spans="1:45">
      <c r="A50" s="24">
        <v>1997</v>
      </c>
      <c r="B50" s="6">
        <f t="shared" si="12"/>
        <v>6.9866296117992027E-2</v>
      </c>
      <c r="C50" s="81">
        <f t="shared" si="15"/>
        <v>0.930133703882008</v>
      </c>
      <c r="D50" s="6">
        <f t="shared" si="18"/>
        <v>4.4307087167240286E-2</v>
      </c>
      <c r="E50" s="81">
        <f t="shared" si="16"/>
        <v>0.9556929128327597</v>
      </c>
      <c r="F50" s="63">
        <f t="shared" si="20"/>
        <v>6.9866296117992027E-2</v>
      </c>
      <c r="G50" s="81">
        <f t="shared" si="21"/>
        <v>4.4307087167240286E-2</v>
      </c>
      <c r="Y50" s="24" t="s">
        <v>46</v>
      </c>
      <c r="Z50">
        <v>89778</v>
      </c>
      <c r="AA50">
        <v>107036</v>
      </c>
      <c r="AB50">
        <v>109687</v>
      </c>
      <c r="AC50">
        <v>130528</v>
      </c>
      <c r="AD50">
        <v>170356</v>
      </c>
      <c r="AE50">
        <v>210936</v>
      </c>
      <c r="AF50" s="28">
        <v>410960</v>
      </c>
      <c r="AG50">
        <v>5110</v>
      </c>
      <c r="AH50">
        <v>17159</v>
      </c>
      <c r="AI50">
        <v>22923</v>
      </c>
      <c r="AJ50">
        <v>40391</v>
      </c>
      <c r="AK50">
        <v>60114</v>
      </c>
      <c r="AL50">
        <v>83976</v>
      </c>
      <c r="AM50" s="28">
        <v>387191</v>
      </c>
    </row>
    <row r="51" spans="1:45">
      <c r="A51" s="24">
        <v>1998</v>
      </c>
      <c r="B51" s="6">
        <f t="shared" ref="B51:B65" si="22">F51</f>
        <v>6.4204802159937721E-2</v>
      </c>
      <c r="C51" s="81">
        <f t="shared" si="15"/>
        <v>0.93579519784006227</v>
      </c>
      <c r="D51" s="6">
        <f t="shared" si="18"/>
        <v>3.8919828575910781E-2</v>
      </c>
      <c r="E51" s="81">
        <f t="shared" si="16"/>
        <v>0.96108017142408919</v>
      </c>
      <c r="F51" s="63">
        <f t="shared" si="20"/>
        <v>6.4204802159937721E-2</v>
      </c>
      <c r="G51" s="81">
        <f t="shared" si="21"/>
        <v>3.8919828575910781E-2</v>
      </c>
      <c r="Y51" s="25" t="s">
        <v>47</v>
      </c>
      <c r="Z51" s="29">
        <v>40351</v>
      </c>
      <c r="AA51" s="29">
        <v>114924</v>
      </c>
      <c r="AB51" s="29">
        <v>122841</v>
      </c>
      <c r="AC51" s="29">
        <v>155976</v>
      </c>
      <c r="AD51" s="29">
        <v>207581</v>
      </c>
      <c r="AE51" s="29">
        <v>270118</v>
      </c>
      <c r="AF51" s="30">
        <v>433699</v>
      </c>
      <c r="AG51" s="29">
        <v>8238</v>
      </c>
      <c r="AH51" s="29">
        <v>8204</v>
      </c>
      <c r="AI51" s="29">
        <v>10542</v>
      </c>
      <c r="AJ51" s="29">
        <v>26705</v>
      </c>
      <c r="AK51" s="29">
        <v>64001</v>
      </c>
      <c r="AL51" s="29">
        <v>62525</v>
      </c>
      <c r="AM51" s="30">
        <v>101333</v>
      </c>
    </row>
    <row r="52" spans="1:45">
      <c r="A52" s="24">
        <v>1999</v>
      </c>
      <c r="B52" s="6">
        <f t="shared" si="22"/>
        <v>5.8282161380180671E-2</v>
      </c>
      <c r="C52" s="81">
        <f t="shared" si="15"/>
        <v>0.94171783861981928</v>
      </c>
      <c r="D52" s="6">
        <f t="shared" si="18"/>
        <v>3.1345994846076315E-2</v>
      </c>
      <c r="E52" s="81">
        <f t="shared" si="16"/>
        <v>0.96865400515392364</v>
      </c>
      <c r="F52" s="63">
        <f t="shared" si="20"/>
        <v>5.8282161380180671E-2</v>
      </c>
      <c r="G52" s="81">
        <f t="shared" si="21"/>
        <v>3.1345994846076315E-2</v>
      </c>
      <c r="Y52" s="24" t="s">
        <v>166</v>
      </c>
      <c r="Z52">
        <f>SUM(Z41:Z51)</f>
        <v>4925808</v>
      </c>
      <c r="AA52">
        <f t="shared" ref="AA52:AM52" si="23">SUM(AA41:AA51)</f>
        <v>5508547</v>
      </c>
      <c r="AB52">
        <f t="shared" si="23"/>
        <v>5750714</v>
      </c>
      <c r="AC52">
        <f t="shared" si="23"/>
        <v>7353917</v>
      </c>
      <c r="AD52">
        <f t="shared" si="23"/>
        <v>11559503</v>
      </c>
      <c r="AE52">
        <f t="shared" si="23"/>
        <v>15845855</v>
      </c>
      <c r="AF52" s="28">
        <f t="shared" si="23"/>
        <v>18439013</v>
      </c>
      <c r="AG52">
        <f t="shared" si="23"/>
        <v>6058482</v>
      </c>
      <c r="AH52">
        <f t="shared" si="23"/>
        <v>7795910</v>
      </c>
      <c r="AI52">
        <f t="shared" si="23"/>
        <v>6166271</v>
      </c>
      <c r="AJ52">
        <f t="shared" si="23"/>
        <v>5164491</v>
      </c>
      <c r="AK52">
        <f t="shared" si="23"/>
        <v>4631770</v>
      </c>
      <c r="AL52">
        <f t="shared" si="23"/>
        <v>5635951</v>
      </c>
      <c r="AM52" s="28">
        <f t="shared" si="23"/>
        <v>9401943</v>
      </c>
    </row>
    <row r="53" spans="1:45">
      <c r="A53" s="24">
        <v>2000</v>
      </c>
      <c r="B53" s="6">
        <f t="shared" si="22"/>
        <v>5.2740135552140209E-2</v>
      </c>
      <c r="C53" s="81">
        <f t="shared" si="15"/>
        <v>0.94725986444785981</v>
      </c>
      <c r="D53" s="6">
        <f t="shared" si="18"/>
        <v>2.7095346832878706E-2</v>
      </c>
      <c r="E53" s="81">
        <f t="shared" si="16"/>
        <v>0.97290465316712127</v>
      </c>
      <c r="F53" s="63">
        <f t="shared" si="20"/>
        <v>5.2740135552140209E-2</v>
      </c>
      <c r="G53" s="81">
        <f t="shared" si="21"/>
        <v>2.7095346832878706E-2</v>
      </c>
      <c r="Y53" s="25" t="s">
        <v>167</v>
      </c>
      <c r="Z53" s="29">
        <f>Z54-Z52</f>
        <v>33329712</v>
      </c>
      <c r="AA53" s="29">
        <f t="shared" ref="AA53:AM53" si="24">AA54-AA52</f>
        <v>39220971</v>
      </c>
      <c r="AB53" s="29">
        <f t="shared" si="24"/>
        <v>41957460</v>
      </c>
      <c r="AC53" s="29">
        <f t="shared" si="24"/>
        <v>54267419</v>
      </c>
      <c r="AD53" s="29">
        <f t="shared" si="24"/>
        <v>63996023</v>
      </c>
      <c r="AE53" s="29">
        <f t="shared" si="24"/>
        <v>113414320</v>
      </c>
      <c r="AF53" s="30">
        <f t="shared" si="24"/>
        <v>118746142</v>
      </c>
      <c r="AG53" s="29">
        <f t="shared" si="24"/>
        <v>32215018</v>
      </c>
      <c r="AH53" s="29">
        <f t="shared" si="24"/>
        <v>30033137</v>
      </c>
      <c r="AI53" s="29">
        <f t="shared" si="24"/>
        <v>38658958</v>
      </c>
      <c r="AJ53" s="29">
        <f t="shared" si="24"/>
        <v>61865915</v>
      </c>
      <c r="AK53" s="29">
        <f t="shared" si="24"/>
        <v>128361048</v>
      </c>
      <c r="AL53" s="29">
        <f t="shared" si="24"/>
        <v>156879260</v>
      </c>
      <c r="AM53" s="30">
        <f t="shared" si="24"/>
        <v>150384583</v>
      </c>
    </row>
    <row r="54" spans="1:45">
      <c r="A54" s="24">
        <v>2001</v>
      </c>
      <c r="B54" s="6">
        <f t="shared" si="22"/>
        <v>5.1714030169336116E-2</v>
      </c>
      <c r="C54" s="81">
        <f t="shared" si="15"/>
        <v>0.94828596983066393</v>
      </c>
      <c r="D54" s="6">
        <f t="shared" si="18"/>
        <v>2.5255283244304112E-2</v>
      </c>
      <c r="E54" s="81">
        <f t="shared" si="16"/>
        <v>0.97474471675569585</v>
      </c>
      <c r="F54" s="63">
        <f t="shared" si="20"/>
        <v>5.1714030169336116E-2</v>
      </c>
      <c r="G54" s="81">
        <f t="shared" si="21"/>
        <v>2.5255283244304112E-2</v>
      </c>
      <c r="Y54" s="25" t="s">
        <v>7</v>
      </c>
      <c r="Z54" s="29">
        <v>38255520</v>
      </c>
      <c r="AA54" s="29">
        <v>44729518</v>
      </c>
      <c r="AB54" s="29">
        <v>47708174</v>
      </c>
      <c r="AC54" s="29">
        <v>61621336</v>
      </c>
      <c r="AD54" s="29">
        <v>75555526</v>
      </c>
      <c r="AE54" s="29">
        <v>129260175</v>
      </c>
      <c r="AF54" s="30">
        <v>137185155</v>
      </c>
      <c r="AG54" s="29">
        <v>38273500</v>
      </c>
      <c r="AH54" s="29">
        <v>37829047</v>
      </c>
      <c r="AI54" s="29">
        <v>44825229</v>
      </c>
      <c r="AJ54" s="29">
        <v>67030406</v>
      </c>
      <c r="AK54" s="29">
        <v>132992818</v>
      </c>
      <c r="AL54" s="29">
        <v>162515211</v>
      </c>
      <c r="AM54" s="30">
        <v>159786526</v>
      </c>
    </row>
    <row r="55" spans="1:45">
      <c r="A55" s="24">
        <v>2002</v>
      </c>
      <c r="B55" s="6">
        <f t="shared" si="22"/>
        <v>4.8228479465349694E-2</v>
      </c>
      <c r="C55" s="81">
        <f t="shared" si="15"/>
        <v>0.95177152053465031</v>
      </c>
      <c r="D55" s="6">
        <f t="shared" si="18"/>
        <v>2.4562116746281806E-2</v>
      </c>
      <c r="E55" s="81">
        <f t="shared" si="16"/>
        <v>0.97543788325371816</v>
      </c>
      <c r="F55" s="63">
        <f t="shared" si="20"/>
        <v>4.8228479465349694E-2</v>
      </c>
      <c r="G55" s="81">
        <f t="shared" si="21"/>
        <v>2.4562116746281806E-2</v>
      </c>
    </row>
    <row r="56" spans="1:45">
      <c r="A56" s="24">
        <v>2003</v>
      </c>
      <c r="B56" s="6">
        <f t="shared" si="22"/>
        <v>4.2591984081345791E-2</v>
      </c>
      <c r="C56" s="81">
        <f t="shared" si="15"/>
        <v>0.95740801591865421</v>
      </c>
      <c r="D56" s="6">
        <f t="shared" si="18"/>
        <v>2.2894660335303806E-2</v>
      </c>
      <c r="E56" s="81">
        <f t="shared" si="16"/>
        <v>0.97710533966469615</v>
      </c>
      <c r="F56" s="63">
        <f t="shared" si="20"/>
        <v>4.2591984081345791E-2</v>
      </c>
      <c r="G56" s="81">
        <f t="shared" si="21"/>
        <v>2.2894660335303806E-2</v>
      </c>
    </row>
    <row r="57" spans="1:45">
      <c r="A57" s="24">
        <v>2004</v>
      </c>
      <c r="B57" s="6">
        <f t="shared" si="22"/>
        <v>3.4089185371954031E-2</v>
      </c>
      <c r="C57" s="81">
        <f t="shared" si="15"/>
        <v>0.96591081462804596</v>
      </c>
      <c r="D57" s="6">
        <f t="shared" si="18"/>
        <v>2.479558255186386E-2</v>
      </c>
      <c r="E57" s="81">
        <f t="shared" si="16"/>
        <v>0.97520441744813613</v>
      </c>
      <c r="F57" s="63">
        <f t="shared" si="20"/>
        <v>3.4089185371954031E-2</v>
      </c>
      <c r="G57" s="81">
        <f t="shared" si="21"/>
        <v>2.479558255186386E-2</v>
      </c>
      <c r="Y57" s="147" t="s">
        <v>50</v>
      </c>
      <c r="Z57" s="147"/>
      <c r="AA57" s="147"/>
      <c r="AB57" s="147"/>
      <c r="AC57" s="147"/>
      <c r="AD57" s="147"/>
      <c r="AE57" s="147"/>
      <c r="AF57" s="147"/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</row>
    <row r="58" spans="1:45">
      <c r="A58" s="24">
        <v>2005</v>
      </c>
      <c r="B58" s="6">
        <f t="shared" si="22"/>
        <v>3.1407449015884187E-2</v>
      </c>
      <c r="C58" s="81">
        <f t="shared" si="15"/>
        <v>0.96859255098411579</v>
      </c>
      <c r="D58" s="6">
        <f t="shared" si="18"/>
        <v>2.051812780607104E-2</v>
      </c>
      <c r="E58" s="81">
        <f t="shared" si="16"/>
        <v>0.9794818721939289</v>
      </c>
      <c r="F58" s="63">
        <f t="shared" si="20"/>
        <v>3.1407449015884187E-2</v>
      </c>
      <c r="G58" s="81">
        <f t="shared" si="21"/>
        <v>2.051812780607104E-2</v>
      </c>
      <c r="Y58" s="10"/>
      <c r="Z58" s="77">
        <v>1981</v>
      </c>
      <c r="AA58" s="77">
        <v>1982</v>
      </c>
      <c r="AB58" s="77">
        <v>1983</v>
      </c>
      <c r="AC58" s="77">
        <v>1984</v>
      </c>
      <c r="AD58" s="77">
        <v>1985</v>
      </c>
      <c r="AE58" s="77">
        <v>1986</v>
      </c>
      <c r="AF58" s="77">
        <v>1987</v>
      </c>
      <c r="AG58" s="77">
        <v>1988</v>
      </c>
      <c r="AH58" s="77">
        <v>1989</v>
      </c>
      <c r="AI58" s="77">
        <v>1990</v>
      </c>
      <c r="AJ58" s="77">
        <v>1991</v>
      </c>
      <c r="AK58" s="77">
        <v>1992</v>
      </c>
      <c r="AL58" s="77">
        <v>1993</v>
      </c>
      <c r="AM58" s="77">
        <v>1994</v>
      </c>
      <c r="AN58" s="77">
        <v>1995</v>
      </c>
      <c r="AO58" s="77">
        <v>1996</v>
      </c>
      <c r="AP58" s="77">
        <v>1997</v>
      </c>
      <c r="AQ58" s="77">
        <v>1998</v>
      </c>
      <c r="AR58" s="77">
        <v>1999</v>
      </c>
      <c r="AS58" s="70">
        <v>2000</v>
      </c>
    </row>
    <row r="59" spans="1:45">
      <c r="A59" s="24">
        <v>2006</v>
      </c>
      <c r="B59" s="6">
        <f t="shared" si="22"/>
        <v>2.8162662103783577E-2</v>
      </c>
      <c r="C59" s="81">
        <f t="shared" si="15"/>
        <v>0.9718373378962164</v>
      </c>
      <c r="D59" s="6">
        <f t="shared" si="18"/>
        <v>1.8916067243895624E-2</v>
      </c>
      <c r="E59" s="81">
        <f t="shared" si="16"/>
        <v>0.98108393275610439</v>
      </c>
      <c r="F59" s="63">
        <f t="shared" si="20"/>
        <v>2.8162662103783577E-2</v>
      </c>
      <c r="G59" s="81">
        <f t="shared" si="21"/>
        <v>1.8916067243895624E-2</v>
      </c>
      <c r="Y59" s="68" t="s">
        <v>37</v>
      </c>
      <c r="Z59" s="106">
        <v>368788</v>
      </c>
      <c r="AA59" s="106">
        <v>361754</v>
      </c>
      <c r="AB59" s="106">
        <v>335744</v>
      </c>
      <c r="AC59" s="106">
        <v>310387</v>
      </c>
      <c r="AD59" s="106">
        <v>302868</v>
      </c>
      <c r="AE59" s="106">
        <v>340112</v>
      </c>
      <c r="AF59" s="106">
        <v>347962</v>
      </c>
      <c r="AG59" s="106">
        <v>386098</v>
      </c>
      <c r="AH59" s="106">
        <v>395116</v>
      </c>
      <c r="AI59" s="106">
        <v>429732</v>
      </c>
      <c r="AJ59" s="106">
        <v>439146</v>
      </c>
      <c r="AK59" s="106">
        <v>491811</v>
      </c>
      <c r="AL59" s="106">
        <v>468578</v>
      </c>
      <c r="AM59" s="106">
        <v>484927</v>
      </c>
      <c r="AN59" s="106">
        <v>524723</v>
      </c>
      <c r="AO59" s="106">
        <v>501258</v>
      </c>
      <c r="AP59" s="106">
        <v>489853</v>
      </c>
      <c r="AQ59" s="106">
        <v>459461</v>
      </c>
      <c r="AR59" s="106">
        <v>409863</v>
      </c>
      <c r="AS59" s="27">
        <v>406025</v>
      </c>
    </row>
    <row r="60" spans="1:45">
      <c r="A60" s="24">
        <v>2007</v>
      </c>
      <c r="B60" s="6">
        <f t="shared" si="22"/>
        <v>2.6581816960218153E-2</v>
      </c>
      <c r="C60" s="81">
        <f t="shared" si="15"/>
        <v>0.97341818303978189</v>
      </c>
      <c r="D60" s="6">
        <f t="shared" si="18"/>
        <v>2.1174341816264972E-2</v>
      </c>
      <c r="E60" s="81">
        <f t="shared" si="16"/>
        <v>0.97882565818373501</v>
      </c>
      <c r="F60" s="63">
        <f t="shared" si="20"/>
        <v>2.6581816960218153E-2</v>
      </c>
      <c r="G60" s="81">
        <f t="shared" si="21"/>
        <v>2.1174341816264972E-2</v>
      </c>
      <c r="Y60" s="24" t="s">
        <v>38</v>
      </c>
      <c r="Z60">
        <v>365755</v>
      </c>
      <c r="AA60">
        <v>478268</v>
      </c>
      <c r="AB60">
        <v>447283</v>
      </c>
      <c r="AC60">
        <v>433536</v>
      </c>
      <c r="AD60">
        <v>463579</v>
      </c>
      <c r="AE60">
        <v>504274</v>
      </c>
      <c r="AF60">
        <v>514937</v>
      </c>
      <c r="AG60">
        <v>584838</v>
      </c>
      <c r="AH60">
        <v>656604</v>
      </c>
      <c r="AI60">
        <v>791445</v>
      </c>
      <c r="AJ60">
        <v>906148</v>
      </c>
      <c r="AK60">
        <v>643436</v>
      </c>
      <c r="AL60">
        <v>711742</v>
      </c>
      <c r="AM60">
        <v>1055829</v>
      </c>
      <c r="AN60">
        <v>1585295</v>
      </c>
      <c r="AO60">
        <v>1721725</v>
      </c>
      <c r="AP60">
        <v>1572961</v>
      </c>
      <c r="AQ60">
        <v>1379451</v>
      </c>
      <c r="AR60">
        <v>1323264</v>
      </c>
      <c r="AS60" s="28">
        <v>1575636</v>
      </c>
    </row>
    <row r="61" spans="1:45">
      <c r="A61" s="24">
        <v>2008</v>
      </c>
      <c r="B61" s="6">
        <f t="shared" si="22"/>
        <v>2.4369383501331967E-2</v>
      </c>
      <c r="C61" s="81">
        <f t="shared" si="15"/>
        <v>0.975630616498668</v>
      </c>
      <c r="D61" s="6">
        <f t="shared" si="18"/>
        <v>2.3360725678922306E-2</v>
      </c>
      <c r="E61" s="81">
        <f t="shared" si="16"/>
        <v>0.97663927432107767</v>
      </c>
      <c r="F61" s="63">
        <f t="shared" si="20"/>
        <v>2.4369383501331967E-2</v>
      </c>
      <c r="G61" s="81">
        <f t="shared" si="21"/>
        <v>2.3360725678922306E-2</v>
      </c>
      <c r="Y61" s="24" t="s">
        <v>39</v>
      </c>
      <c r="Z61">
        <v>77676</v>
      </c>
      <c r="AA61">
        <v>76355</v>
      </c>
      <c r="AB61">
        <v>66864</v>
      </c>
      <c r="AC61">
        <v>70980</v>
      </c>
      <c r="AD61">
        <v>61538</v>
      </c>
      <c r="AE61">
        <v>70272</v>
      </c>
      <c r="AF61">
        <v>152094</v>
      </c>
      <c r="AG61">
        <v>83091</v>
      </c>
      <c r="AH61">
        <v>74932</v>
      </c>
      <c r="AI61">
        <v>67146</v>
      </c>
      <c r="AJ61">
        <v>69763</v>
      </c>
      <c r="AK61">
        <v>69570</v>
      </c>
      <c r="AL61">
        <v>64474</v>
      </c>
      <c r="AM61">
        <v>67674</v>
      </c>
      <c r="AN61">
        <v>67626</v>
      </c>
      <c r="AO61">
        <v>78978</v>
      </c>
      <c r="AP61">
        <v>92637</v>
      </c>
      <c r="AQ61">
        <v>83654</v>
      </c>
      <c r="AR61">
        <v>80071</v>
      </c>
      <c r="AS61" s="28">
        <v>93423</v>
      </c>
    </row>
    <row r="62" spans="1:45">
      <c r="A62" s="24">
        <v>2009</v>
      </c>
      <c r="B62" s="6">
        <f t="shared" si="22"/>
        <v>2.8782161449568845E-2</v>
      </c>
      <c r="C62" s="81">
        <f t="shared" si="15"/>
        <v>0.9712178385504312</v>
      </c>
      <c r="D62" s="6">
        <f t="shared" si="18"/>
        <v>2.4276112825615766E-2</v>
      </c>
      <c r="E62" s="81">
        <f t="shared" si="16"/>
        <v>0.97572388717438419</v>
      </c>
      <c r="F62" s="63">
        <f t="shared" si="20"/>
        <v>2.8782161449568845E-2</v>
      </c>
      <c r="G62" s="81">
        <f t="shared" si="21"/>
        <v>2.4276112825615766E-2</v>
      </c>
      <c r="Y62" s="24" t="s">
        <v>40</v>
      </c>
      <c r="Z62">
        <v>367212</v>
      </c>
      <c r="AA62">
        <v>324400</v>
      </c>
      <c r="AB62">
        <v>293605</v>
      </c>
      <c r="AC62">
        <v>292303</v>
      </c>
      <c r="AD62">
        <v>287735</v>
      </c>
      <c r="AE62">
        <v>499593</v>
      </c>
      <c r="AF62">
        <v>644236</v>
      </c>
      <c r="AG62">
        <v>968778</v>
      </c>
      <c r="AH62">
        <v>1038990</v>
      </c>
      <c r="AI62">
        <v>1369815</v>
      </c>
      <c r="AJ62">
        <v>1181188</v>
      </c>
      <c r="AK62">
        <v>1398063</v>
      </c>
      <c r="AL62">
        <v>1344275</v>
      </c>
      <c r="AM62">
        <v>1991356</v>
      </c>
      <c r="AN62">
        <v>2379897</v>
      </c>
      <c r="AO62">
        <v>2272546</v>
      </c>
      <c r="AP62">
        <v>2394843</v>
      </c>
      <c r="AQ62">
        <v>2245367</v>
      </c>
      <c r="AR62">
        <v>2504136</v>
      </c>
      <c r="AS62" s="28">
        <v>3070669</v>
      </c>
    </row>
    <row r="63" spans="1:45">
      <c r="A63" s="24">
        <v>2010</v>
      </c>
      <c r="B63" s="6">
        <f t="shared" si="22"/>
        <v>2.7513558091584112E-2</v>
      </c>
      <c r="C63" s="81">
        <f t="shared" si="15"/>
        <v>0.97248644190841593</v>
      </c>
      <c r="D63" s="6">
        <f t="shared" si="18"/>
        <v>2.3447752584300079E-2</v>
      </c>
      <c r="E63" s="81">
        <f t="shared" si="16"/>
        <v>0.9765522474156999</v>
      </c>
      <c r="F63" s="63">
        <f t="shared" si="20"/>
        <v>2.7513558091584112E-2</v>
      </c>
      <c r="G63" s="81">
        <f t="shared" si="21"/>
        <v>2.3447752584300079E-2</v>
      </c>
      <c r="Y63" s="24" t="s">
        <v>41</v>
      </c>
      <c r="Z63">
        <v>290709</v>
      </c>
      <c r="AA63">
        <v>219342</v>
      </c>
      <c r="AB63">
        <v>213481</v>
      </c>
      <c r="AC63">
        <v>442289</v>
      </c>
      <c r="AD63">
        <v>1082008</v>
      </c>
      <c r="AE63">
        <v>900153</v>
      </c>
      <c r="AF63">
        <v>580022</v>
      </c>
      <c r="AG63">
        <v>680806</v>
      </c>
      <c r="AH63">
        <v>719132</v>
      </c>
      <c r="AI63">
        <v>613623</v>
      </c>
      <c r="AJ63">
        <v>1168704</v>
      </c>
      <c r="AK63">
        <v>1691038</v>
      </c>
      <c r="AL63">
        <v>1689633</v>
      </c>
      <c r="AM63">
        <v>1789550</v>
      </c>
      <c r="AN63">
        <v>413254</v>
      </c>
      <c r="AO63">
        <v>672975</v>
      </c>
      <c r="AP63">
        <v>1642898</v>
      </c>
      <c r="AQ63">
        <v>1805114</v>
      </c>
      <c r="AR63">
        <v>1423277</v>
      </c>
      <c r="AS63" s="28">
        <v>1975666</v>
      </c>
    </row>
    <row r="64" spans="1:45">
      <c r="A64" s="24">
        <v>2011</v>
      </c>
      <c r="B64" s="6">
        <f t="shared" si="22"/>
        <v>2.8073921936639695E-2</v>
      </c>
      <c r="C64" s="81">
        <f t="shared" si="15"/>
        <v>0.97192607806336029</v>
      </c>
      <c r="D64" s="6">
        <f t="shared" si="18"/>
        <v>2.4990765616432386E-2</v>
      </c>
      <c r="E64" s="81">
        <f t="shared" si="16"/>
        <v>0.97500923438356757</v>
      </c>
      <c r="F64" s="63">
        <f t="shared" si="20"/>
        <v>2.8073921936639695E-2</v>
      </c>
      <c r="G64" s="81">
        <f t="shared" si="21"/>
        <v>2.4990765616432386E-2</v>
      </c>
      <c r="Y64" s="24" t="s">
        <v>42</v>
      </c>
      <c r="Z64">
        <v>830500</v>
      </c>
      <c r="AA64">
        <v>803690</v>
      </c>
      <c r="AB64">
        <v>802056</v>
      </c>
      <c r="AC64">
        <v>793999</v>
      </c>
      <c r="AD64">
        <v>839372</v>
      </c>
      <c r="AE64">
        <v>1113220</v>
      </c>
      <c r="AF64">
        <v>1292784</v>
      </c>
      <c r="AG64">
        <v>1617558</v>
      </c>
      <c r="AH64">
        <v>1623196</v>
      </c>
      <c r="AI64">
        <v>1759525</v>
      </c>
      <c r="AJ64">
        <v>1946165</v>
      </c>
      <c r="AK64">
        <v>1940287</v>
      </c>
      <c r="AL64">
        <v>2091982</v>
      </c>
      <c r="AM64">
        <v>2811372</v>
      </c>
      <c r="AN64">
        <v>3290741</v>
      </c>
      <c r="AO64">
        <v>3101829</v>
      </c>
      <c r="AP64">
        <v>3064774</v>
      </c>
      <c r="AQ64">
        <v>2960686</v>
      </c>
      <c r="AR64">
        <v>3094993</v>
      </c>
      <c r="AS64" s="28">
        <v>3357586</v>
      </c>
    </row>
    <row r="65" spans="1:45">
      <c r="A65" s="25">
        <v>2012</v>
      </c>
      <c r="B65" s="66">
        <f t="shared" si="22"/>
        <v>2.6948503162753407E-2</v>
      </c>
      <c r="C65" s="82">
        <f t="shared" si="15"/>
        <v>0.97305149683724657</v>
      </c>
      <c r="D65" s="66">
        <f t="shared" si="18"/>
        <v>2.8700843824064202E-2</v>
      </c>
      <c r="E65" s="82">
        <f t="shared" si="16"/>
        <v>0.97129915617593576</v>
      </c>
      <c r="F65" s="65">
        <f>L29/J29</f>
        <v>2.6948503162753407E-2</v>
      </c>
      <c r="G65" s="82">
        <f t="shared" si="21"/>
        <v>2.8700843824064202E-2</v>
      </c>
      <c r="Y65" s="24" t="s">
        <v>43</v>
      </c>
      <c r="Z65">
        <v>148312</v>
      </c>
      <c r="AA65">
        <v>96173</v>
      </c>
      <c r="AB65">
        <v>75451</v>
      </c>
      <c r="AC65">
        <v>52472</v>
      </c>
      <c r="AD65">
        <v>79561</v>
      </c>
      <c r="AE65">
        <v>129075</v>
      </c>
      <c r="AF65">
        <v>156058</v>
      </c>
      <c r="AG65">
        <v>110885</v>
      </c>
      <c r="AH65">
        <v>236725</v>
      </c>
      <c r="AI65">
        <v>317515</v>
      </c>
      <c r="AJ65">
        <v>202287</v>
      </c>
      <c r="AK65">
        <v>749109</v>
      </c>
      <c r="AL65">
        <v>722425</v>
      </c>
      <c r="AM65">
        <v>436347</v>
      </c>
      <c r="AN65">
        <v>318734</v>
      </c>
      <c r="AO65">
        <v>410500</v>
      </c>
      <c r="AP65">
        <v>256062</v>
      </c>
      <c r="AQ65">
        <v>263594</v>
      </c>
      <c r="AR65">
        <v>211307</v>
      </c>
      <c r="AS65" s="28">
        <v>253532</v>
      </c>
    </row>
    <row r="66" spans="1:45">
      <c r="Y66" s="24" t="s">
        <v>44</v>
      </c>
      <c r="Z66">
        <v>283226</v>
      </c>
      <c r="AA66">
        <v>328859</v>
      </c>
      <c r="AB66">
        <v>355896</v>
      </c>
      <c r="AC66">
        <v>433839</v>
      </c>
      <c r="AD66">
        <v>445419</v>
      </c>
      <c r="AE66">
        <v>473541</v>
      </c>
      <c r="AF66">
        <v>490163</v>
      </c>
      <c r="AG66">
        <v>524262</v>
      </c>
      <c r="AH66">
        <v>567836</v>
      </c>
      <c r="AI66">
        <v>533435</v>
      </c>
      <c r="AJ66">
        <v>490640</v>
      </c>
      <c r="AK66">
        <v>542551</v>
      </c>
      <c r="AL66">
        <v>554070</v>
      </c>
      <c r="AM66">
        <v>544203</v>
      </c>
      <c r="AN66">
        <v>571578</v>
      </c>
      <c r="AO66">
        <v>620398</v>
      </c>
      <c r="AP66">
        <v>690759</v>
      </c>
      <c r="AQ66">
        <v>634359</v>
      </c>
      <c r="AR66">
        <v>593569</v>
      </c>
      <c r="AS66" s="28">
        <v>607706</v>
      </c>
    </row>
    <row r="67" spans="1:45">
      <c r="Q67"/>
      <c r="Y67" s="24" t="s">
        <v>45</v>
      </c>
      <c r="Z67">
        <v>88811</v>
      </c>
      <c r="AA67">
        <v>108294</v>
      </c>
      <c r="AB67">
        <v>196582</v>
      </c>
      <c r="AC67">
        <v>216493</v>
      </c>
      <c r="AD67">
        <v>241175</v>
      </c>
      <c r="AE67">
        <v>423325</v>
      </c>
      <c r="AF67">
        <v>542871</v>
      </c>
      <c r="AG67">
        <v>917289</v>
      </c>
      <c r="AH67">
        <v>863592</v>
      </c>
      <c r="AI67">
        <v>758209</v>
      </c>
      <c r="AJ67">
        <v>854875</v>
      </c>
      <c r="AK67">
        <v>503446</v>
      </c>
      <c r="AL67">
        <v>456802</v>
      </c>
      <c r="AM67">
        <v>467836</v>
      </c>
      <c r="AN67">
        <v>352480</v>
      </c>
      <c r="AO67">
        <v>367212</v>
      </c>
      <c r="AP67">
        <v>312900</v>
      </c>
      <c r="AQ67">
        <v>221433</v>
      </c>
      <c r="AR67">
        <v>242749</v>
      </c>
      <c r="AS67" s="28">
        <v>307392</v>
      </c>
    </row>
    <row r="68" spans="1:45">
      <c r="Q68"/>
      <c r="Y68" s="24" t="s">
        <v>46</v>
      </c>
      <c r="Z68">
        <v>52810</v>
      </c>
      <c r="AA68">
        <v>56633</v>
      </c>
      <c r="AB68">
        <v>55397</v>
      </c>
      <c r="AC68">
        <v>56262</v>
      </c>
      <c r="AD68">
        <v>57944</v>
      </c>
      <c r="AE68">
        <v>61141</v>
      </c>
      <c r="AF68">
        <v>110473</v>
      </c>
      <c r="AG68">
        <v>58448</v>
      </c>
      <c r="AH68">
        <v>75904</v>
      </c>
      <c r="AI68">
        <v>83961</v>
      </c>
      <c r="AJ68">
        <v>117640</v>
      </c>
      <c r="AK68">
        <v>236387</v>
      </c>
      <c r="AL68">
        <v>250990</v>
      </c>
      <c r="AM68">
        <v>309762</v>
      </c>
      <c r="AN68">
        <v>388972</v>
      </c>
      <c r="AO68">
        <v>430717</v>
      </c>
      <c r="AP68">
        <v>480845</v>
      </c>
      <c r="AQ68">
        <v>546888</v>
      </c>
      <c r="AR68">
        <v>518798</v>
      </c>
      <c r="AS68" s="28">
        <v>579803</v>
      </c>
    </row>
    <row r="69" spans="1:45">
      <c r="Q69"/>
      <c r="Y69" s="25" t="s">
        <v>47</v>
      </c>
      <c r="Z69" s="29">
        <v>23736</v>
      </c>
      <c r="AA69" s="29">
        <v>60806</v>
      </c>
      <c r="AB69" s="29">
        <v>62041</v>
      </c>
      <c r="AC69" s="29">
        <v>67231</v>
      </c>
      <c r="AD69" s="29">
        <v>70606</v>
      </c>
      <c r="AE69" s="29">
        <v>78295</v>
      </c>
      <c r="AF69" s="29">
        <v>116586</v>
      </c>
      <c r="AG69" s="29">
        <v>142564</v>
      </c>
      <c r="AH69" s="29">
        <v>172943</v>
      </c>
      <c r="AI69" s="29">
        <v>171404</v>
      </c>
      <c r="AJ69" s="29">
        <v>217627</v>
      </c>
      <c r="AK69" s="29">
        <v>278802</v>
      </c>
      <c r="AL69" s="29">
        <v>261159</v>
      </c>
      <c r="AM69" s="29">
        <v>315382</v>
      </c>
      <c r="AN69" s="29">
        <v>370190</v>
      </c>
      <c r="AO69" s="29">
        <v>366379</v>
      </c>
      <c r="AP69" s="29">
        <v>391246</v>
      </c>
      <c r="AQ69" s="29">
        <v>397311</v>
      </c>
      <c r="AR69" s="29">
        <v>435063</v>
      </c>
      <c r="AS69" s="30">
        <v>442971</v>
      </c>
    </row>
    <row r="70" spans="1:45">
      <c r="Q70"/>
      <c r="Y70" s="24" t="s">
        <v>166</v>
      </c>
      <c r="Z70">
        <f t="shared" ref="Z70:AS70" si="25">SUM(Z59:Z69)</f>
        <v>2897535</v>
      </c>
      <c r="AA70">
        <f t="shared" si="25"/>
        <v>2914574</v>
      </c>
      <c r="AB70">
        <f t="shared" si="25"/>
        <v>2904400</v>
      </c>
      <c r="AC70">
        <f t="shared" si="25"/>
        <v>3169791</v>
      </c>
      <c r="AD70">
        <f t="shared" si="25"/>
        <v>3931805</v>
      </c>
      <c r="AE70">
        <f t="shared" si="25"/>
        <v>4593001</v>
      </c>
      <c r="AF70">
        <f t="shared" si="25"/>
        <v>4948186</v>
      </c>
      <c r="AG70">
        <f t="shared" si="25"/>
        <v>6074617</v>
      </c>
      <c r="AH70">
        <f t="shared" si="25"/>
        <v>6424970</v>
      </c>
      <c r="AI70">
        <f t="shared" si="25"/>
        <v>6895810</v>
      </c>
      <c r="AJ70">
        <f t="shared" si="25"/>
        <v>7594183</v>
      </c>
      <c r="AK70">
        <f t="shared" si="25"/>
        <v>8544500</v>
      </c>
      <c r="AL70">
        <f t="shared" si="25"/>
        <v>8616130</v>
      </c>
      <c r="AM70">
        <f t="shared" si="25"/>
        <v>10274238</v>
      </c>
      <c r="AN70">
        <f t="shared" si="25"/>
        <v>10263490</v>
      </c>
      <c r="AO70">
        <f t="shared" si="25"/>
        <v>10544517</v>
      </c>
      <c r="AP70">
        <f t="shared" si="25"/>
        <v>11389778</v>
      </c>
      <c r="AQ70">
        <f t="shared" si="25"/>
        <v>10997318</v>
      </c>
      <c r="AR70">
        <f t="shared" si="25"/>
        <v>10837090</v>
      </c>
      <c r="AS70" s="28">
        <f t="shared" si="25"/>
        <v>12670409</v>
      </c>
    </row>
    <row r="71" spans="1:45">
      <c r="Q71"/>
      <c r="Y71" s="25" t="s">
        <v>167</v>
      </c>
      <c r="Z71" s="29">
        <f>Z72-Z70</f>
        <v>18722361</v>
      </c>
      <c r="AA71" s="29">
        <f t="shared" ref="AA71:AS71" si="26">AA72-AA70</f>
        <v>18981370</v>
      </c>
      <c r="AB71" s="29">
        <f t="shared" si="26"/>
        <v>19233333</v>
      </c>
      <c r="AC71" s="29">
        <f t="shared" si="26"/>
        <v>21854223</v>
      </c>
      <c r="AD71" s="29">
        <f t="shared" si="26"/>
        <v>18363982</v>
      </c>
      <c r="AE71" s="29">
        <f t="shared" si="26"/>
        <v>26772373</v>
      </c>
      <c r="AF71" s="29">
        <f t="shared" si="26"/>
        <v>31921007</v>
      </c>
      <c r="AG71" s="29">
        <f t="shared" si="26"/>
        <v>41613521</v>
      </c>
      <c r="AH71" s="29">
        <f t="shared" si="26"/>
        <v>46257086</v>
      </c>
      <c r="AI71" s="29">
        <f t="shared" si="26"/>
        <v>55418902</v>
      </c>
      <c r="AJ71" s="29">
        <f t="shared" si="26"/>
        <v>64557817</v>
      </c>
      <c r="AK71" s="29">
        <f t="shared" si="26"/>
        <v>76876456</v>
      </c>
      <c r="AL71" s="29">
        <f t="shared" si="26"/>
        <v>83369760</v>
      </c>
      <c r="AM71" s="29">
        <f t="shared" si="26"/>
        <v>111284609</v>
      </c>
      <c r="AN71" s="29">
        <f t="shared" si="26"/>
        <v>139395228</v>
      </c>
      <c r="AO71" s="29">
        <f t="shared" si="26"/>
        <v>141657496</v>
      </c>
      <c r="AP71" s="29">
        <f t="shared" si="26"/>
        <v>173032198</v>
      </c>
      <c r="AQ71" s="29">
        <f t="shared" si="26"/>
        <v>174672588</v>
      </c>
      <c r="AR71" s="29">
        <f t="shared" si="26"/>
        <v>185712475</v>
      </c>
      <c r="AS71" s="30">
        <f t="shared" si="26"/>
        <v>238167235</v>
      </c>
    </row>
    <row r="72" spans="1:45">
      <c r="Q72"/>
      <c r="Y72" s="25" t="s">
        <v>7</v>
      </c>
      <c r="Z72" s="29">
        <v>21619896</v>
      </c>
      <c r="AA72" s="29">
        <v>21895944</v>
      </c>
      <c r="AB72" s="29">
        <v>22137733</v>
      </c>
      <c r="AC72" s="29">
        <v>25024014</v>
      </c>
      <c r="AD72" s="29">
        <v>22295787</v>
      </c>
      <c r="AE72" s="29">
        <v>31365374</v>
      </c>
      <c r="AF72" s="29">
        <v>36869193</v>
      </c>
      <c r="AG72" s="29">
        <v>47688138</v>
      </c>
      <c r="AH72" s="29">
        <v>52682056</v>
      </c>
      <c r="AI72" s="29">
        <v>62314712</v>
      </c>
      <c r="AJ72" s="29">
        <v>72152000</v>
      </c>
      <c r="AK72" s="29">
        <v>85420956</v>
      </c>
      <c r="AL72" s="29">
        <v>91985890</v>
      </c>
      <c r="AM72" s="29">
        <v>121558847</v>
      </c>
      <c r="AN72" s="29">
        <v>149658718</v>
      </c>
      <c r="AO72" s="29">
        <v>152202013</v>
      </c>
      <c r="AP72" s="29">
        <v>184421976</v>
      </c>
      <c r="AQ72" s="29">
        <v>185669906</v>
      </c>
      <c r="AR72" s="29">
        <v>196549565</v>
      </c>
      <c r="AS72" s="30">
        <v>250837644</v>
      </c>
    </row>
    <row r="73" spans="1:45">
      <c r="Q73"/>
    </row>
    <row r="74" spans="1:45">
      <c r="Q74"/>
    </row>
    <row r="75" spans="1:45">
      <c r="Q75"/>
      <c r="Y75" t="s">
        <v>51</v>
      </c>
    </row>
    <row r="76" spans="1:45">
      <c r="Q76"/>
      <c r="Y76" s="12"/>
      <c r="Z76" s="77">
        <v>1981</v>
      </c>
      <c r="AA76" s="77">
        <v>1982</v>
      </c>
      <c r="AB76" s="77">
        <v>1983</v>
      </c>
      <c r="AC76" s="77">
        <v>1984</v>
      </c>
      <c r="AD76" s="77">
        <v>1985</v>
      </c>
      <c r="AE76" s="77">
        <v>1986</v>
      </c>
      <c r="AF76" s="77">
        <v>1987</v>
      </c>
      <c r="AG76" s="77">
        <v>1988</v>
      </c>
      <c r="AH76" s="77">
        <v>1989</v>
      </c>
      <c r="AI76" s="77">
        <v>1990</v>
      </c>
      <c r="AJ76" s="77">
        <v>1991</v>
      </c>
      <c r="AK76" s="77">
        <v>1992</v>
      </c>
      <c r="AL76" s="77">
        <v>1993</v>
      </c>
      <c r="AM76" s="77">
        <v>1994</v>
      </c>
      <c r="AN76" s="77">
        <v>1995</v>
      </c>
      <c r="AO76" s="77">
        <v>1996</v>
      </c>
      <c r="AP76" s="77">
        <v>1997</v>
      </c>
      <c r="AQ76" s="77">
        <v>1998</v>
      </c>
      <c r="AR76" s="77">
        <v>1999</v>
      </c>
      <c r="AS76" s="70">
        <v>2000</v>
      </c>
    </row>
    <row r="77" spans="1:45">
      <c r="Q77"/>
      <c r="Y77" s="68" t="s">
        <v>37</v>
      </c>
      <c r="Z77" s="106">
        <v>2506</v>
      </c>
      <c r="AA77" s="106">
        <v>2597</v>
      </c>
      <c r="AB77" s="106">
        <v>2860</v>
      </c>
      <c r="AC77" s="106">
        <v>3646</v>
      </c>
      <c r="AD77" s="106">
        <v>18860</v>
      </c>
      <c r="AE77" s="106">
        <v>12288</v>
      </c>
      <c r="AF77" s="106">
        <v>12572</v>
      </c>
      <c r="AG77" s="106">
        <v>16519</v>
      </c>
      <c r="AH77" s="106">
        <v>10941</v>
      </c>
      <c r="AI77" s="106">
        <v>13618</v>
      </c>
      <c r="AJ77" s="106">
        <v>19685</v>
      </c>
      <c r="AK77" s="106">
        <v>20007</v>
      </c>
      <c r="AL77" s="106">
        <v>17200</v>
      </c>
      <c r="AM77" s="106">
        <v>18332</v>
      </c>
      <c r="AN77" s="106">
        <v>28242</v>
      </c>
      <c r="AO77" s="106">
        <v>34699</v>
      </c>
      <c r="AP77" s="106">
        <v>31897</v>
      </c>
      <c r="AQ77" s="106">
        <v>42646</v>
      </c>
      <c r="AR77" s="106">
        <v>46982</v>
      </c>
      <c r="AS77" s="27">
        <v>41846</v>
      </c>
    </row>
    <row r="78" spans="1:45">
      <c r="Q78"/>
      <c r="Y78" s="24" t="s">
        <v>38</v>
      </c>
      <c r="Z78">
        <v>229</v>
      </c>
      <c r="AA78">
        <v>822</v>
      </c>
      <c r="AB78">
        <v>1380</v>
      </c>
      <c r="AC78">
        <v>3180</v>
      </c>
      <c r="AD78">
        <v>6813</v>
      </c>
      <c r="AE78">
        <v>9160</v>
      </c>
      <c r="AF78">
        <v>18042</v>
      </c>
      <c r="AG78">
        <v>28236</v>
      </c>
      <c r="AH78">
        <v>47027</v>
      </c>
      <c r="AI78">
        <v>53987</v>
      </c>
      <c r="AJ78">
        <v>62441</v>
      </c>
      <c r="AK78">
        <v>63919</v>
      </c>
      <c r="AL78">
        <v>75132</v>
      </c>
      <c r="AM78">
        <v>95739</v>
      </c>
      <c r="AN78">
        <v>102618</v>
      </c>
      <c r="AO78">
        <v>169853</v>
      </c>
      <c r="AP78">
        <v>163545</v>
      </c>
      <c r="AQ78">
        <v>150705</v>
      </c>
      <c r="AR78">
        <v>510306</v>
      </c>
      <c r="AS78" s="28">
        <v>653958</v>
      </c>
    </row>
    <row r="79" spans="1:45">
      <c r="Q79"/>
      <c r="Y79" s="24" t="s">
        <v>39</v>
      </c>
      <c r="Z79">
        <v>18371</v>
      </c>
      <c r="AA79">
        <v>51255</v>
      </c>
      <c r="AB79">
        <v>17956</v>
      </c>
      <c r="AC79">
        <v>22944</v>
      </c>
      <c r="AD79">
        <v>32688</v>
      </c>
      <c r="AE79">
        <v>49530</v>
      </c>
      <c r="AF79">
        <v>49434</v>
      </c>
      <c r="AG79">
        <v>70189</v>
      </c>
      <c r="AH79">
        <v>68805</v>
      </c>
      <c r="AI79">
        <v>80942</v>
      </c>
      <c r="AJ79">
        <v>68734</v>
      </c>
      <c r="AK79">
        <v>66416</v>
      </c>
      <c r="AL79">
        <v>53114</v>
      </c>
      <c r="AM79">
        <v>80848</v>
      </c>
      <c r="AN79">
        <v>61079</v>
      </c>
      <c r="AO79">
        <v>55409</v>
      </c>
      <c r="AP79">
        <v>66191</v>
      </c>
      <c r="AQ79">
        <v>86487</v>
      </c>
      <c r="AR79">
        <v>160621</v>
      </c>
      <c r="AS79" s="28">
        <v>215651</v>
      </c>
    </row>
    <row r="80" spans="1:45">
      <c r="Q80"/>
      <c r="Y80" s="24" t="s">
        <v>40</v>
      </c>
      <c r="Z80">
        <v>14445</v>
      </c>
      <c r="AA80">
        <v>21799</v>
      </c>
      <c r="AB80">
        <v>23688</v>
      </c>
      <c r="AC80">
        <v>31215</v>
      </c>
      <c r="AD80">
        <v>44389</v>
      </c>
      <c r="AE80">
        <v>47460</v>
      </c>
      <c r="AF80">
        <v>58292</v>
      </c>
      <c r="AG80">
        <v>91990</v>
      </c>
      <c r="AH80">
        <v>118027</v>
      </c>
      <c r="AI80">
        <v>102405</v>
      </c>
      <c r="AJ80">
        <v>122405</v>
      </c>
      <c r="AK80">
        <v>321536</v>
      </c>
      <c r="AL80">
        <v>362376</v>
      </c>
      <c r="AM80">
        <v>573111</v>
      </c>
      <c r="AN80">
        <v>602702</v>
      </c>
      <c r="AO80">
        <v>590957</v>
      </c>
      <c r="AP80">
        <v>536186</v>
      </c>
      <c r="AQ80">
        <v>659449</v>
      </c>
      <c r="AR80">
        <v>876448</v>
      </c>
      <c r="AS80" s="28">
        <v>1202547</v>
      </c>
    </row>
    <row r="81" spans="17:45">
      <c r="Q81"/>
      <c r="Y81" s="24" t="s">
        <v>41</v>
      </c>
      <c r="Z81">
        <v>2982496</v>
      </c>
      <c r="AA81">
        <v>3205202</v>
      </c>
      <c r="AB81">
        <v>2452030</v>
      </c>
      <c r="AC81">
        <v>1720839</v>
      </c>
      <c r="AD81">
        <v>970503</v>
      </c>
      <c r="AE81">
        <v>983128</v>
      </c>
      <c r="AF81">
        <v>1689607</v>
      </c>
      <c r="AG81">
        <v>1854792</v>
      </c>
      <c r="AH81">
        <v>2983162</v>
      </c>
      <c r="AI81">
        <v>2353447</v>
      </c>
      <c r="AJ81">
        <v>1647808</v>
      </c>
      <c r="AK81">
        <v>1724162</v>
      </c>
      <c r="AL81">
        <v>1034305</v>
      </c>
      <c r="AM81">
        <v>1333878</v>
      </c>
      <c r="AN81">
        <v>3645200</v>
      </c>
      <c r="AO81">
        <v>2613218</v>
      </c>
      <c r="AP81">
        <v>952572</v>
      </c>
      <c r="AQ81">
        <v>745133</v>
      </c>
      <c r="AR81">
        <v>572053</v>
      </c>
      <c r="AS81" s="28">
        <v>657410</v>
      </c>
    </row>
    <row r="82" spans="17:45">
      <c r="Q82"/>
      <c r="Y82" s="24" t="s">
        <v>42</v>
      </c>
      <c r="Z82">
        <v>46684</v>
      </c>
      <c r="AA82">
        <v>63250</v>
      </c>
      <c r="AB82">
        <v>29714</v>
      </c>
      <c r="AC82">
        <v>33107</v>
      </c>
      <c r="AD82">
        <v>51105</v>
      </c>
      <c r="AE82">
        <v>57009</v>
      </c>
      <c r="AF82">
        <v>54754</v>
      </c>
      <c r="AG82">
        <v>75094</v>
      </c>
      <c r="AH82">
        <v>88888</v>
      </c>
      <c r="AI82">
        <v>83133</v>
      </c>
      <c r="AJ82">
        <v>65782</v>
      </c>
      <c r="AK82">
        <v>102238</v>
      </c>
      <c r="AL82">
        <v>97541</v>
      </c>
      <c r="AM82">
        <v>102049</v>
      </c>
      <c r="AN82">
        <v>184904</v>
      </c>
      <c r="AO82">
        <v>296107</v>
      </c>
      <c r="AP82">
        <v>329972</v>
      </c>
      <c r="AQ82">
        <v>334255</v>
      </c>
      <c r="AR82">
        <v>376597</v>
      </c>
      <c r="AS82" s="28">
        <v>500404</v>
      </c>
    </row>
    <row r="83" spans="17:45">
      <c r="Q83"/>
      <c r="Y83" s="24" t="s">
        <v>43</v>
      </c>
      <c r="Z83">
        <v>437747</v>
      </c>
      <c r="AA83">
        <v>644818</v>
      </c>
      <c r="AB83">
        <v>439446</v>
      </c>
      <c r="AC83">
        <v>248178</v>
      </c>
      <c r="AD83">
        <v>282904</v>
      </c>
      <c r="AE83">
        <v>217611</v>
      </c>
      <c r="AF83">
        <v>298086</v>
      </c>
      <c r="AG83">
        <v>866056</v>
      </c>
      <c r="AH83">
        <v>441495</v>
      </c>
      <c r="AI83">
        <v>389474</v>
      </c>
      <c r="AJ83">
        <v>269635</v>
      </c>
      <c r="AK83">
        <v>272131</v>
      </c>
      <c r="AL83">
        <v>132144</v>
      </c>
      <c r="AM83">
        <v>445535</v>
      </c>
      <c r="AN83">
        <v>934627</v>
      </c>
      <c r="AO83">
        <v>426921</v>
      </c>
      <c r="AP83">
        <v>250140</v>
      </c>
      <c r="AQ83">
        <v>171572</v>
      </c>
      <c r="AR83">
        <v>181858</v>
      </c>
      <c r="AS83" s="28">
        <v>175854</v>
      </c>
    </row>
    <row r="84" spans="17:45">
      <c r="Q84"/>
      <c r="Y84" s="24" t="s">
        <v>44</v>
      </c>
      <c r="Z84">
        <v>31018</v>
      </c>
      <c r="AA84">
        <v>74814</v>
      </c>
      <c r="AB84">
        <v>54405</v>
      </c>
      <c r="AC84">
        <v>45996</v>
      </c>
      <c r="AD84">
        <v>41337</v>
      </c>
      <c r="AE84">
        <v>116860</v>
      </c>
      <c r="AF84">
        <v>71325</v>
      </c>
      <c r="AG84">
        <v>98879</v>
      </c>
      <c r="AH84">
        <v>63619</v>
      </c>
      <c r="AI84">
        <v>27832</v>
      </c>
      <c r="AJ84">
        <v>52694</v>
      </c>
      <c r="AK84">
        <v>59357</v>
      </c>
      <c r="AL84">
        <v>57202</v>
      </c>
      <c r="AM84">
        <v>61224</v>
      </c>
      <c r="AN84">
        <v>76021</v>
      </c>
      <c r="AO84">
        <v>89363</v>
      </c>
      <c r="AP84">
        <v>85470</v>
      </c>
      <c r="AQ84">
        <v>88308</v>
      </c>
      <c r="AR84">
        <v>87039</v>
      </c>
      <c r="AS84" s="28">
        <v>114327</v>
      </c>
    </row>
    <row r="85" spans="17:45">
      <c r="Q85"/>
      <c r="Y85" s="24" t="s">
        <v>45</v>
      </c>
      <c r="Z85">
        <v>22466</v>
      </c>
      <c r="AA85">
        <v>46846</v>
      </c>
      <c r="AB85">
        <v>75897</v>
      </c>
      <c r="AC85">
        <v>88049</v>
      </c>
      <c r="AD85">
        <v>84617</v>
      </c>
      <c r="AE85">
        <v>98099</v>
      </c>
      <c r="AF85">
        <v>9091</v>
      </c>
      <c r="AG85">
        <v>389289</v>
      </c>
      <c r="AH85">
        <v>436549</v>
      </c>
      <c r="AI85">
        <v>304656</v>
      </c>
      <c r="AJ85">
        <v>599831</v>
      </c>
      <c r="AK85">
        <v>463409</v>
      </c>
      <c r="AL85">
        <v>309335</v>
      </c>
      <c r="AM85">
        <v>349888</v>
      </c>
      <c r="AN85">
        <v>423063</v>
      </c>
      <c r="AO85">
        <v>1299943</v>
      </c>
      <c r="AP85">
        <v>1792130</v>
      </c>
      <c r="AQ85">
        <v>1406033</v>
      </c>
      <c r="AR85">
        <v>620989</v>
      </c>
      <c r="AS85" s="28">
        <v>909979</v>
      </c>
    </row>
    <row r="86" spans="17:45">
      <c r="Q86"/>
      <c r="Y86" s="24" t="s">
        <v>46</v>
      </c>
      <c r="Z86">
        <v>3006</v>
      </c>
      <c r="AA86">
        <v>9079</v>
      </c>
      <c r="AB86">
        <v>11577</v>
      </c>
      <c r="AC86">
        <v>17410</v>
      </c>
      <c r="AD86">
        <v>20447</v>
      </c>
      <c r="AE86">
        <v>24341</v>
      </c>
      <c r="AF86">
        <v>145453</v>
      </c>
      <c r="AG86">
        <v>50336</v>
      </c>
      <c r="AH86">
        <v>46569</v>
      </c>
      <c r="AI86">
        <v>48964</v>
      </c>
      <c r="AJ86">
        <v>56127</v>
      </c>
      <c r="AK86">
        <v>46442</v>
      </c>
      <c r="AL86">
        <v>58292</v>
      </c>
      <c r="AM86">
        <v>67323</v>
      </c>
      <c r="AN86">
        <v>62793</v>
      </c>
      <c r="AO86">
        <v>79460</v>
      </c>
      <c r="AP86">
        <v>90108</v>
      </c>
      <c r="AQ86">
        <v>130384</v>
      </c>
      <c r="AR86">
        <v>150177</v>
      </c>
      <c r="AS86" s="28">
        <v>194642</v>
      </c>
    </row>
    <row r="87" spans="17:45">
      <c r="Q87"/>
      <c r="Y87" s="25" t="s">
        <v>47</v>
      </c>
      <c r="Z87" s="29">
        <v>4846</v>
      </c>
      <c r="AA87" s="29">
        <v>4341</v>
      </c>
      <c r="AB87" s="29">
        <v>5324</v>
      </c>
      <c r="AC87" s="29">
        <v>11511</v>
      </c>
      <c r="AD87" s="29">
        <v>21769</v>
      </c>
      <c r="AE87" s="29">
        <v>18123</v>
      </c>
      <c r="AF87" s="29">
        <v>27240</v>
      </c>
      <c r="AG87" s="29">
        <v>40294</v>
      </c>
      <c r="AH87" s="29">
        <v>30232</v>
      </c>
      <c r="AI87" s="29">
        <v>26762</v>
      </c>
      <c r="AJ87" s="29">
        <v>36932</v>
      </c>
      <c r="AK87" s="29">
        <v>34482</v>
      </c>
      <c r="AL87" s="29">
        <v>45198</v>
      </c>
      <c r="AM87" s="29">
        <v>35752</v>
      </c>
      <c r="AN87" s="29">
        <v>34622</v>
      </c>
      <c r="AO87" s="29">
        <v>40427</v>
      </c>
      <c r="AP87" s="29">
        <v>65839</v>
      </c>
      <c r="AQ87" s="29">
        <v>73562</v>
      </c>
      <c r="AR87" s="29">
        <v>120517</v>
      </c>
      <c r="AS87" s="30">
        <v>160032</v>
      </c>
    </row>
    <row r="88" spans="17:45">
      <c r="Q88"/>
      <c r="Y88" s="24" t="s">
        <v>166</v>
      </c>
      <c r="Z88">
        <f>SUM(Z77:Z87)</f>
        <v>3563814</v>
      </c>
      <c r="AA88">
        <f t="shared" ref="AA88:AS88" si="27">SUM(AA77:AA87)</f>
        <v>4124823</v>
      </c>
      <c r="AB88">
        <f t="shared" si="27"/>
        <v>3114277</v>
      </c>
      <c r="AC88">
        <f t="shared" si="27"/>
        <v>2226075</v>
      </c>
      <c r="AD88">
        <f t="shared" si="27"/>
        <v>1575432</v>
      </c>
      <c r="AE88">
        <f t="shared" si="27"/>
        <v>1633609</v>
      </c>
      <c r="AF88">
        <f t="shared" si="27"/>
        <v>2433896</v>
      </c>
      <c r="AG88">
        <f t="shared" si="27"/>
        <v>3581674</v>
      </c>
      <c r="AH88">
        <f t="shared" si="27"/>
        <v>4335314</v>
      </c>
      <c r="AI88">
        <f t="shared" si="27"/>
        <v>3485220</v>
      </c>
      <c r="AJ88">
        <f t="shared" si="27"/>
        <v>3002074</v>
      </c>
      <c r="AK88">
        <f t="shared" si="27"/>
        <v>3174099</v>
      </c>
      <c r="AL88">
        <f t="shared" si="27"/>
        <v>2241839</v>
      </c>
      <c r="AM88">
        <f t="shared" si="27"/>
        <v>3163679</v>
      </c>
      <c r="AN88">
        <f t="shared" si="27"/>
        <v>6155871</v>
      </c>
      <c r="AO88">
        <f t="shared" si="27"/>
        <v>5696357</v>
      </c>
      <c r="AP88">
        <f t="shared" si="27"/>
        <v>4364050</v>
      </c>
      <c r="AQ88">
        <f t="shared" si="27"/>
        <v>3888534</v>
      </c>
      <c r="AR88">
        <f t="shared" si="27"/>
        <v>3703587</v>
      </c>
      <c r="AS88" s="28">
        <f t="shared" si="27"/>
        <v>4826650</v>
      </c>
    </row>
    <row r="89" spans="17:45">
      <c r="Q89"/>
      <c r="Y89" s="25" t="s">
        <v>167</v>
      </c>
      <c r="Z89" s="29">
        <f>Z90-Z88</f>
        <v>14865216</v>
      </c>
      <c r="AA89" s="29">
        <f t="shared" ref="AA89:AS89" si="28">AA90-AA88</f>
        <v>13944712</v>
      </c>
      <c r="AB89" s="29">
        <f t="shared" si="28"/>
        <v>18220749</v>
      </c>
      <c r="AC89" s="29">
        <f t="shared" si="28"/>
        <v>24203879</v>
      </c>
      <c r="AD89" s="29">
        <f t="shared" si="28"/>
        <v>40480852</v>
      </c>
      <c r="AE89" s="29">
        <f t="shared" si="28"/>
        <v>40623903</v>
      </c>
      <c r="AF89" s="29">
        <f t="shared" si="28"/>
        <v>40425964</v>
      </c>
      <c r="AG89" s="29">
        <f t="shared" si="28"/>
        <v>51851390</v>
      </c>
      <c r="AH89" s="29">
        <f t="shared" si="28"/>
        <v>55124252</v>
      </c>
      <c r="AI89" s="29">
        <f t="shared" si="28"/>
        <v>50237955</v>
      </c>
      <c r="AJ89" s="29">
        <f t="shared" si="28"/>
        <v>60965117</v>
      </c>
      <c r="AK89" s="29">
        <f t="shared" si="28"/>
        <v>77338442</v>
      </c>
      <c r="AL89" s="29">
        <f t="shared" si="28"/>
        <v>101987077</v>
      </c>
      <c r="AM89" s="29">
        <f t="shared" si="28"/>
        <v>113145993</v>
      </c>
      <c r="AN89" s="29">
        <f t="shared" si="28"/>
        <v>126293036</v>
      </c>
      <c r="AO89" s="29">
        <f t="shared" si="28"/>
        <v>132862674</v>
      </c>
      <c r="AP89" s="29">
        <f t="shared" si="28"/>
        <v>137589426</v>
      </c>
      <c r="AQ89" s="29">
        <f t="shared" si="28"/>
        <v>135852772</v>
      </c>
      <c r="AR89" s="29">
        <f t="shared" si="28"/>
        <v>161436201</v>
      </c>
      <c r="AS89" s="30">
        <f t="shared" si="28"/>
        <v>219619790</v>
      </c>
    </row>
    <row r="90" spans="17:45">
      <c r="Q90"/>
      <c r="Y90" s="25" t="s">
        <v>7</v>
      </c>
      <c r="Z90" s="29">
        <v>18429030</v>
      </c>
      <c r="AA90" s="29">
        <v>18069535</v>
      </c>
      <c r="AB90" s="29">
        <v>21335026</v>
      </c>
      <c r="AC90" s="29">
        <v>26429954</v>
      </c>
      <c r="AD90" s="29">
        <v>42056284</v>
      </c>
      <c r="AE90" s="29">
        <v>42257512</v>
      </c>
      <c r="AF90" s="29">
        <v>42859860</v>
      </c>
      <c r="AG90" s="29">
        <v>55433064</v>
      </c>
      <c r="AH90" s="29">
        <v>59459566</v>
      </c>
      <c r="AI90" s="29">
        <v>53723175</v>
      </c>
      <c r="AJ90" s="29">
        <v>63967191</v>
      </c>
      <c r="AK90" s="29">
        <v>80512541</v>
      </c>
      <c r="AL90" s="29">
        <v>104228916</v>
      </c>
      <c r="AM90" s="29">
        <v>116309672</v>
      </c>
      <c r="AN90" s="29">
        <v>132448907</v>
      </c>
      <c r="AO90" s="29">
        <v>138559031</v>
      </c>
      <c r="AP90" s="29">
        <v>141953476</v>
      </c>
      <c r="AQ90" s="29">
        <v>139741306</v>
      </c>
      <c r="AR90" s="29">
        <v>165139788</v>
      </c>
      <c r="AS90" s="30">
        <v>224446440</v>
      </c>
    </row>
    <row r="91" spans="17:45">
      <c r="Q91"/>
    </row>
  </sheetData>
  <mergeCells count="19">
    <mergeCell ref="U3:W3"/>
    <mergeCell ref="R3:T3"/>
    <mergeCell ref="R2:W2"/>
    <mergeCell ref="Y57:AS57"/>
    <mergeCell ref="B3:C3"/>
    <mergeCell ref="D3:E3"/>
    <mergeCell ref="B2:E2"/>
    <mergeCell ref="F32:G32"/>
    <mergeCell ref="R21:T21"/>
    <mergeCell ref="U21:W21"/>
    <mergeCell ref="R20:W20"/>
    <mergeCell ref="Y4:AI4"/>
    <mergeCell ref="Y21:AL21"/>
    <mergeCell ref="Z39:AF39"/>
    <mergeCell ref="AG39:AM39"/>
    <mergeCell ref="Y38:AM38"/>
    <mergeCell ref="J3:L3"/>
    <mergeCell ref="M3:O3"/>
    <mergeCell ref="J2:O2"/>
  </mergeCells>
  <pageMargins left="0.7" right="0.7" top="0.75" bottom="0.75" header="0.3" footer="0.3"/>
  <pageSetup scale="49" orientation="portrait" r:id="rId1"/>
  <rowBreaks count="1" manualBreakCount="1">
    <brk id="66" max="16383" man="1"/>
  </rowBreaks>
  <colBreaks count="4" manualBreakCount="4">
    <brk id="8" max="1048575" man="1"/>
    <brk id="16" max="1048575" man="1"/>
    <brk id="24" max="1048575" man="1"/>
    <brk id="3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3"/>
  <sheetViews>
    <sheetView view="pageBreakPreview" topLeftCell="A23" zoomScale="115" zoomScaleNormal="100" zoomScaleSheetLayoutView="115" workbookViewId="0">
      <selection activeCell="F37" sqref="F37"/>
    </sheetView>
  </sheetViews>
  <sheetFormatPr defaultRowHeight="15"/>
  <cols>
    <col min="5" max="5" width="11.5703125" customWidth="1"/>
  </cols>
  <sheetData>
    <row r="1" spans="1:8" ht="34.9" customHeight="1">
      <c r="A1" s="145" t="s">
        <v>165</v>
      </c>
      <c r="B1" s="146"/>
      <c r="D1" s="141" t="s">
        <v>55</v>
      </c>
      <c r="E1" s="142"/>
      <c r="G1" t="s">
        <v>53</v>
      </c>
      <c r="H1" t="s">
        <v>103</v>
      </c>
    </row>
    <row r="2" spans="1:8">
      <c r="A2" s="10"/>
      <c r="B2" s="70" t="s">
        <v>57</v>
      </c>
      <c r="D2" s="12"/>
      <c r="E2" s="70" t="s">
        <v>56</v>
      </c>
      <c r="G2" s="12"/>
      <c r="H2" s="70" t="s">
        <v>54</v>
      </c>
    </row>
    <row r="3" spans="1:8">
      <c r="A3" s="24">
        <v>1952</v>
      </c>
      <c r="B3" s="81">
        <f>E3*$F$44</f>
        <v>6.7393816815949137E-2</v>
      </c>
      <c r="D3" s="17">
        <v>1952</v>
      </c>
      <c r="E3" s="81">
        <v>6.7393816815949137E-2</v>
      </c>
      <c r="G3" s="17">
        <v>1983</v>
      </c>
      <c r="H3" s="18">
        <v>6.8</v>
      </c>
    </row>
    <row r="4" spans="1:8">
      <c r="A4" s="24">
        <v>1953</v>
      </c>
      <c r="B4" s="81">
        <f>E4*$F$44</f>
        <v>6.9039913700107883E-2</v>
      </c>
      <c r="D4" s="17">
        <v>1953</v>
      </c>
      <c r="E4" s="81">
        <v>6.9039913700107883E-2</v>
      </c>
      <c r="G4" s="17">
        <v>1984</v>
      </c>
      <c r="H4" s="18">
        <v>5.8</v>
      </c>
    </row>
    <row r="5" spans="1:8">
      <c r="A5" s="24">
        <v>1954</v>
      </c>
      <c r="B5" s="81">
        <f t="shared" ref="B5:B33" si="0">E5*$F$44</f>
        <v>5.9262211089604916E-2</v>
      </c>
      <c r="D5" s="17">
        <v>1954</v>
      </c>
      <c r="E5" s="81">
        <v>5.9262211089604916E-2</v>
      </c>
      <c r="G5" s="17">
        <v>1985</v>
      </c>
      <c r="H5" s="18">
        <v>5.0999999999999996</v>
      </c>
    </row>
    <row r="6" spans="1:8">
      <c r="A6" s="24">
        <v>1955</v>
      </c>
      <c r="B6" s="18">
        <f t="shared" si="0"/>
        <v>8.199999999999999E-2</v>
      </c>
      <c r="D6" s="17">
        <v>1955</v>
      </c>
      <c r="E6" s="18">
        <v>8.199999999999999E-2</v>
      </c>
      <c r="G6" s="17">
        <v>1986</v>
      </c>
      <c r="H6" s="18">
        <v>4.5999999999999996</v>
      </c>
    </row>
    <row r="7" spans="1:8">
      <c r="A7" s="24">
        <v>1956</v>
      </c>
      <c r="B7" s="18">
        <f t="shared" si="0"/>
        <v>6.8999999999999992E-2</v>
      </c>
      <c r="D7" s="17">
        <v>1956</v>
      </c>
      <c r="E7" s="18">
        <v>6.8999999999999992E-2</v>
      </c>
      <c r="G7" s="17">
        <v>1987</v>
      </c>
      <c r="H7" s="18">
        <v>4.2</v>
      </c>
    </row>
    <row r="8" spans="1:8">
      <c r="A8" s="24">
        <v>1957</v>
      </c>
      <c r="B8" s="18">
        <f t="shared" si="0"/>
        <v>6.0999999999999999E-2</v>
      </c>
      <c r="D8" s="17">
        <v>1957</v>
      </c>
      <c r="E8" s="18">
        <v>6.0999999999999999E-2</v>
      </c>
      <c r="G8" s="17">
        <v>1988</v>
      </c>
      <c r="H8" s="18">
        <v>3.8</v>
      </c>
    </row>
    <row r="9" spans="1:8">
      <c r="A9" s="24">
        <v>1958</v>
      </c>
      <c r="B9" s="18">
        <f t="shared" si="0"/>
        <v>4.4999999999999998E-2</v>
      </c>
      <c r="D9" s="17">
        <v>1958</v>
      </c>
      <c r="E9" s="18">
        <v>4.4999999999999998E-2</v>
      </c>
      <c r="G9" s="17">
        <v>1989</v>
      </c>
      <c r="H9" s="18">
        <v>1.5</v>
      </c>
    </row>
    <row r="10" spans="1:8">
      <c r="A10" s="24">
        <v>1959</v>
      </c>
      <c r="B10" s="18">
        <f t="shared" si="0"/>
        <v>4.7E-2</v>
      </c>
      <c r="D10" s="17">
        <v>1959</v>
      </c>
      <c r="E10" s="18">
        <v>4.7E-2</v>
      </c>
      <c r="G10" s="17">
        <v>1990</v>
      </c>
      <c r="H10" s="18">
        <v>1.6</v>
      </c>
    </row>
    <row r="11" spans="1:8">
      <c r="A11" s="24">
        <v>1960</v>
      </c>
      <c r="B11" s="18">
        <f t="shared" si="0"/>
        <v>4.8000000000000001E-2</v>
      </c>
      <c r="D11" s="17">
        <v>1960</v>
      </c>
      <c r="E11" s="18">
        <v>4.8000000000000001E-2</v>
      </c>
      <c r="G11" s="17">
        <v>1991</v>
      </c>
      <c r="H11" s="18">
        <v>1.5</v>
      </c>
    </row>
    <row r="12" spans="1:8">
      <c r="A12" s="24">
        <v>1961</v>
      </c>
      <c r="B12" s="18">
        <f t="shared" si="0"/>
        <v>0.05</v>
      </c>
      <c r="D12" s="17">
        <v>1961</v>
      </c>
      <c r="E12" s="18">
        <v>0.05</v>
      </c>
      <c r="G12" s="17">
        <v>1992</v>
      </c>
      <c r="H12" s="18">
        <v>1.4</v>
      </c>
    </row>
    <row r="13" spans="1:8">
      <c r="A13" s="24">
        <v>1962</v>
      </c>
      <c r="B13" s="18">
        <f t="shared" si="0"/>
        <v>6.2E-2</v>
      </c>
      <c r="D13" s="17">
        <v>1962</v>
      </c>
      <c r="E13" s="18">
        <v>6.2E-2</v>
      </c>
      <c r="G13" s="17">
        <v>1993</v>
      </c>
      <c r="H13" s="18">
        <v>1.2</v>
      </c>
    </row>
    <row r="14" spans="1:8">
      <c r="A14" s="24">
        <v>1963</v>
      </c>
      <c r="B14" s="18">
        <f t="shared" si="0"/>
        <v>6.6000000000000003E-2</v>
      </c>
      <c r="D14" s="17">
        <v>1963</v>
      </c>
      <c r="E14" s="18">
        <v>6.6000000000000003E-2</v>
      </c>
      <c r="G14" s="17">
        <v>1994</v>
      </c>
      <c r="H14" s="18">
        <v>1.1000000000000001</v>
      </c>
    </row>
    <row r="15" spans="1:8">
      <c r="A15" s="24">
        <v>1964</v>
      </c>
      <c r="B15" s="18">
        <f t="shared" si="0"/>
        <v>6.3E-2</v>
      </c>
      <c r="D15" s="17">
        <v>1964</v>
      </c>
      <c r="E15" s="18">
        <v>6.3E-2</v>
      </c>
      <c r="G15" s="17">
        <v>1995</v>
      </c>
      <c r="H15" s="18">
        <v>1</v>
      </c>
    </row>
    <row r="16" spans="1:8">
      <c r="A16" s="24">
        <v>1965</v>
      </c>
      <c r="B16" s="18">
        <f t="shared" si="0"/>
        <v>6.3E-2</v>
      </c>
      <c r="D16" s="17">
        <v>1965</v>
      </c>
      <c r="E16" s="18">
        <v>6.3E-2</v>
      </c>
      <c r="G16" s="17">
        <v>1996</v>
      </c>
      <c r="H16" s="18">
        <v>1</v>
      </c>
    </row>
    <row r="17" spans="1:8">
      <c r="A17" s="24">
        <v>1966</v>
      </c>
      <c r="B17" s="18">
        <f t="shared" si="0"/>
        <v>6.4000000000000001E-2</v>
      </c>
      <c r="D17" s="17">
        <v>1966</v>
      </c>
      <c r="E17" s="18">
        <v>6.4000000000000001E-2</v>
      </c>
      <c r="G17" s="17">
        <v>1997</v>
      </c>
      <c r="H17" s="18">
        <v>1</v>
      </c>
    </row>
    <row r="18" spans="1:8">
      <c r="A18" s="24">
        <v>1967</v>
      </c>
      <c r="B18" s="18">
        <f t="shared" si="0"/>
        <v>5.6000000000000008E-2</v>
      </c>
      <c r="D18" s="17">
        <v>1967</v>
      </c>
      <c r="E18" s="18">
        <v>5.6000000000000008E-2</v>
      </c>
      <c r="G18" s="17">
        <v>1998</v>
      </c>
      <c r="H18" s="18">
        <v>1.1000000000000001</v>
      </c>
    </row>
    <row r="19" spans="1:8">
      <c r="A19" s="24">
        <v>1968</v>
      </c>
      <c r="B19" s="18">
        <f t="shared" si="0"/>
        <v>6.7000000000000004E-2</v>
      </c>
      <c r="D19" s="17">
        <v>1968</v>
      </c>
      <c r="E19" s="18">
        <v>6.7000000000000004E-2</v>
      </c>
      <c r="G19" s="17">
        <v>1999</v>
      </c>
      <c r="H19" s="18">
        <v>1.2</v>
      </c>
    </row>
    <row r="20" spans="1:8">
      <c r="A20" s="24">
        <v>1969</v>
      </c>
      <c r="B20" s="18">
        <f t="shared" si="0"/>
        <v>7.8E-2</v>
      </c>
      <c r="D20" s="17">
        <v>1969</v>
      </c>
      <c r="E20" s="18">
        <v>7.8E-2</v>
      </c>
      <c r="G20" s="17">
        <v>2000</v>
      </c>
      <c r="H20" s="18">
        <v>1.2</v>
      </c>
    </row>
    <row r="21" spans="1:8">
      <c r="A21" s="24">
        <v>1970</v>
      </c>
      <c r="B21" s="18">
        <f t="shared" si="0"/>
        <v>7.4999999999999997E-2</v>
      </c>
      <c r="D21" s="17">
        <v>1970</v>
      </c>
      <c r="E21" s="18">
        <v>7.4999999999999997E-2</v>
      </c>
      <c r="G21" s="17">
        <v>2001</v>
      </c>
      <c r="H21" s="18">
        <v>1.3</v>
      </c>
    </row>
    <row r="22" spans="1:8">
      <c r="A22" s="24">
        <v>1971</v>
      </c>
      <c r="B22" s="18">
        <f t="shared" si="0"/>
        <v>8.199999999999999E-2</v>
      </c>
      <c r="D22" s="17">
        <v>1971</v>
      </c>
      <c r="E22" s="18">
        <v>8.199999999999999E-2</v>
      </c>
      <c r="G22" s="17">
        <v>2002</v>
      </c>
      <c r="H22" s="18">
        <v>1.4</v>
      </c>
    </row>
    <row r="23" spans="1:8">
      <c r="A23" s="24">
        <v>1972</v>
      </c>
      <c r="B23" s="18">
        <f t="shared" si="0"/>
        <v>7.4999999999999997E-2</v>
      </c>
      <c r="D23" s="17">
        <v>1972</v>
      </c>
      <c r="E23" s="18">
        <v>7.4999999999999997E-2</v>
      </c>
      <c r="G23" s="17">
        <v>2003</v>
      </c>
      <c r="H23" s="18">
        <v>1.4</v>
      </c>
    </row>
    <row r="24" spans="1:8">
      <c r="A24" s="24">
        <v>1973</v>
      </c>
      <c r="B24" s="18">
        <f t="shared" si="0"/>
        <v>6.3E-2</v>
      </c>
      <c r="D24" s="17">
        <v>1973</v>
      </c>
      <c r="E24" s="18">
        <v>6.3E-2</v>
      </c>
      <c r="G24" s="17">
        <v>2004</v>
      </c>
      <c r="H24" s="18">
        <v>1.7</v>
      </c>
    </row>
    <row r="25" spans="1:8">
      <c r="A25" s="24">
        <v>1974</v>
      </c>
      <c r="B25" s="18">
        <f t="shared" si="0"/>
        <v>5.6999999999999995E-2</v>
      </c>
      <c r="D25" s="17">
        <v>1974</v>
      </c>
      <c r="E25" s="18">
        <v>5.6999999999999995E-2</v>
      </c>
      <c r="G25" s="17">
        <v>2005</v>
      </c>
      <c r="H25" s="18">
        <v>1.4</v>
      </c>
    </row>
    <row r="26" spans="1:8">
      <c r="A26" s="24">
        <v>1975</v>
      </c>
      <c r="B26" s="18">
        <f t="shared" si="0"/>
        <v>5.6999999999999995E-2</v>
      </c>
      <c r="D26" s="17">
        <v>1975</v>
      </c>
      <c r="E26" s="18">
        <v>5.6999999999999995E-2</v>
      </c>
      <c r="G26" s="17">
        <v>2006</v>
      </c>
      <c r="H26" s="18">
        <v>1.3</v>
      </c>
    </row>
    <row r="27" spans="1:8">
      <c r="A27" s="24">
        <v>1976</v>
      </c>
      <c r="B27" s="18">
        <f t="shared" si="0"/>
        <v>5.5000000000000007E-2</v>
      </c>
      <c r="D27" s="17">
        <v>1976</v>
      </c>
      <c r="E27" s="18">
        <v>5.5000000000000007E-2</v>
      </c>
      <c r="G27" s="17">
        <v>2007</v>
      </c>
      <c r="H27" s="18">
        <v>1.4</v>
      </c>
    </row>
    <row r="28" spans="1:8">
      <c r="A28" s="24">
        <v>1977</v>
      </c>
      <c r="B28" s="18">
        <f t="shared" si="0"/>
        <v>5.6000000000000008E-2</v>
      </c>
      <c r="D28" s="17">
        <v>1977</v>
      </c>
      <c r="E28" s="18">
        <v>5.6000000000000008E-2</v>
      </c>
      <c r="G28" s="17">
        <v>2008</v>
      </c>
      <c r="H28" s="18">
        <v>1.4</v>
      </c>
    </row>
    <row r="29" spans="1:8">
      <c r="A29" s="24">
        <v>1978</v>
      </c>
      <c r="B29" s="18">
        <f t="shared" si="0"/>
        <v>5.6000000000000008E-2</v>
      </c>
      <c r="D29" s="17">
        <v>1978</v>
      </c>
      <c r="E29" s="18">
        <v>5.6000000000000008E-2</v>
      </c>
      <c r="G29" s="17">
        <v>2009</v>
      </c>
      <c r="H29" s="62">
        <v>1.410079301958169</v>
      </c>
    </row>
    <row r="30" spans="1:8">
      <c r="A30" s="24">
        <v>1979</v>
      </c>
      <c r="B30" s="18">
        <f t="shared" si="0"/>
        <v>6.6000000000000003E-2</v>
      </c>
      <c r="D30" s="17">
        <v>1979</v>
      </c>
      <c r="E30" s="18">
        <v>6.6000000000000003E-2</v>
      </c>
      <c r="G30" s="17">
        <v>2010</v>
      </c>
      <c r="H30" s="62">
        <v>1.3252379658918068</v>
      </c>
    </row>
    <row r="31" spans="1:8">
      <c r="A31" s="24">
        <v>1980</v>
      </c>
      <c r="B31" s="18">
        <f t="shared" si="0"/>
        <v>5.3000000000000005E-2</v>
      </c>
      <c r="D31" s="17">
        <v>1980</v>
      </c>
      <c r="E31" s="18">
        <v>5.3000000000000005E-2</v>
      </c>
      <c r="G31" s="19">
        <v>2011</v>
      </c>
      <c r="H31" s="79">
        <v>1.2710370918919096</v>
      </c>
    </row>
    <row r="32" spans="1:8">
      <c r="A32" s="24">
        <v>1981</v>
      </c>
      <c r="B32" s="18">
        <f t="shared" si="0"/>
        <v>4.2999999999999997E-2</v>
      </c>
      <c r="D32" s="17">
        <v>1981</v>
      </c>
      <c r="E32" s="18">
        <v>4.2999999999999997E-2</v>
      </c>
    </row>
    <row r="33" spans="1:7">
      <c r="A33" s="24">
        <v>1982</v>
      </c>
      <c r="B33" s="18">
        <f t="shared" si="0"/>
        <v>4.0999999999999995E-2</v>
      </c>
      <c r="D33" s="17">
        <v>1982</v>
      </c>
      <c r="E33" s="18">
        <v>4.0999999999999995E-2</v>
      </c>
      <c r="F33" s="4" t="s">
        <v>58</v>
      </c>
      <c r="G33" t="s">
        <v>246</v>
      </c>
    </row>
    <row r="34" spans="1:7">
      <c r="A34" s="24">
        <v>1983</v>
      </c>
      <c r="B34" s="81">
        <f t="shared" ref="B34:B39" si="1">H3/100/$F$43</f>
        <v>4.226406733518303E-2</v>
      </c>
      <c r="D34" s="17">
        <v>1983</v>
      </c>
      <c r="E34" s="18">
        <v>3.6999999999999998E-2</v>
      </c>
      <c r="F34" s="6">
        <f>1/(E34/H3*100)</f>
        <v>1.8378378378378379</v>
      </c>
    </row>
    <row r="35" spans="1:7">
      <c r="A35" s="24">
        <v>1984</v>
      </c>
      <c r="B35" s="81">
        <f t="shared" si="1"/>
        <v>3.604876331530317E-2</v>
      </c>
      <c r="D35" s="17">
        <v>1984</v>
      </c>
      <c r="E35" s="18">
        <v>3.2000000000000001E-2</v>
      </c>
      <c r="F35" s="6">
        <f t="shared" ref="F35:F41" si="2">1/(E35/H4*100)</f>
        <v>1.8125</v>
      </c>
    </row>
    <row r="36" spans="1:7">
      <c r="A36" s="24">
        <v>1985</v>
      </c>
      <c r="B36" s="81">
        <f t="shared" si="1"/>
        <v>3.169805050138727E-2</v>
      </c>
      <c r="D36" s="17">
        <v>1985</v>
      </c>
      <c r="E36" s="18">
        <v>2.7000000000000003E-2</v>
      </c>
      <c r="F36" s="6">
        <f t="shared" si="2"/>
        <v>1.8888888888888884</v>
      </c>
    </row>
    <row r="37" spans="1:7">
      <c r="A37" s="24">
        <v>1986</v>
      </c>
      <c r="B37" s="81">
        <f t="shared" si="1"/>
        <v>2.8590398491447344E-2</v>
      </c>
      <c r="D37" s="17">
        <v>1986</v>
      </c>
      <c r="E37" s="18">
        <v>2.4E-2</v>
      </c>
      <c r="F37" s="6">
        <f t="shared" si="2"/>
        <v>1.9166666666666663</v>
      </c>
    </row>
    <row r="38" spans="1:7">
      <c r="A38" s="24">
        <v>1987</v>
      </c>
      <c r="B38" s="81">
        <f t="shared" si="1"/>
        <v>2.6104276883495401E-2</v>
      </c>
      <c r="D38" s="17">
        <v>1987</v>
      </c>
      <c r="E38" s="18">
        <v>2.3E-2</v>
      </c>
      <c r="F38" s="6">
        <f t="shared" si="2"/>
        <v>1.8260869565217392</v>
      </c>
    </row>
    <row r="39" spans="1:7">
      <c r="A39" s="24">
        <v>1988</v>
      </c>
      <c r="B39" s="81">
        <f t="shared" si="1"/>
        <v>2.3618155275543458E-2</v>
      </c>
      <c r="D39" s="17">
        <v>1988</v>
      </c>
      <c r="E39" s="18">
        <v>1.9E-2</v>
      </c>
      <c r="F39" s="6">
        <f t="shared" si="2"/>
        <v>2</v>
      </c>
    </row>
    <row r="40" spans="1:7">
      <c r="A40" s="24">
        <v>1989</v>
      </c>
      <c r="B40" s="18">
        <f t="shared" ref="B40:B62" si="3">H9/100</f>
        <v>1.4999999999999999E-2</v>
      </c>
      <c r="D40" s="17">
        <v>1989</v>
      </c>
      <c r="E40" s="18">
        <v>1.9E-2</v>
      </c>
      <c r="F40" s="6">
        <f t="shared" si="2"/>
        <v>0.78947368421052633</v>
      </c>
    </row>
    <row r="41" spans="1:7">
      <c r="A41" s="24">
        <v>1990</v>
      </c>
      <c r="B41" s="18">
        <f t="shared" si="3"/>
        <v>1.6E-2</v>
      </c>
      <c r="D41" s="19">
        <v>1990</v>
      </c>
      <c r="E41" s="21">
        <v>0.02</v>
      </c>
      <c r="F41" s="6">
        <f t="shared" si="2"/>
        <v>0.8</v>
      </c>
    </row>
    <row r="42" spans="1:7">
      <c r="A42" s="24">
        <v>1991</v>
      </c>
      <c r="B42" s="18">
        <f t="shared" si="3"/>
        <v>1.4999999999999999E-2</v>
      </c>
      <c r="F42" s="6" t="s">
        <v>59</v>
      </c>
    </row>
    <row r="43" spans="1:7">
      <c r="A43" s="24">
        <v>1992</v>
      </c>
      <c r="B43" s="18">
        <f t="shared" si="3"/>
        <v>1.3999999999999999E-2</v>
      </c>
      <c r="F43" s="6">
        <f>AVERAGE(F34:F41)</f>
        <v>1.6089317542657071</v>
      </c>
    </row>
    <row r="44" spans="1:7">
      <c r="A44" s="24">
        <v>1993</v>
      </c>
      <c r="B44" s="18">
        <f t="shared" si="3"/>
        <v>1.2E-2</v>
      </c>
      <c r="F44" s="6">
        <v>1</v>
      </c>
    </row>
    <row r="45" spans="1:7">
      <c r="A45" s="24">
        <v>1994</v>
      </c>
      <c r="B45" s="18">
        <f t="shared" si="3"/>
        <v>1.1000000000000001E-2</v>
      </c>
      <c r="D45" t="s">
        <v>247</v>
      </c>
    </row>
    <row r="46" spans="1:7">
      <c r="A46" s="24">
        <v>1995</v>
      </c>
      <c r="B46" s="18">
        <f t="shared" si="3"/>
        <v>0.01</v>
      </c>
    </row>
    <row r="47" spans="1:7">
      <c r="A47" s="24">
        <v>1996</v>
      </c>
      <c r="B47" s="18">
        <f t="shared" si="3"/>
        <v>0.01</v>
      </c>
    </row>
    <row r="48" spans="1:7">
      <c r="A48" s="24">
        <v>1997</v>
      </c>
      <c r="B48" s="18">
        <f t="shared" si="3"/>
        <v>0.01</v>
      </c>
    </row>
    <row r="49" spans="1:2">
      <c r="A49" s="24">
        <v>1998</v>
      </c>
      <c r="B49" s="18">
        <f t="shared" si="3"/>
        <v>1.1000000000000001E-2</v>
      </c>
    </row>
    <row r="50" spans="1:2">
      <c r="A50" s="24">
        <v>1999</v>
      </c>
      <c r="B50" s="18">
        <f t="shared" si="3"/>
        <v>1.2E-2</v>
      </c>
    </row>
    <row r="51" spans="1:2">
      <c r="A51" s="24">
        <v>2000</v>
      </c>
      <c r="B51" s="18">
        <f t="shared" si="3"/>
        <v>1.2E-2</v>
      </c>
    </row>
    <row r="52" spans="1:2">
      <c r="A52" s="24">
        <v>2001</v>
      </c>
      <c r="B52" s="18">
        <f t="shared" si="3"/>
        <v>1.3000000000000001E-2</v>
      </c>
    </row>
    <row r="53" spans="1:2">
      <c r="A53" s="24">
        <v>2002</v>
      </c>
      <c r="B53" s="18">
        <f t="shared" si="3"/>
        <v>1.3999999999999999E-2</v>
      </c>
    </row>
    <row r="54" spans="1:2">
      <c r="A54" s="24">
        <v>2003</v>
      </c>
      <c r="B54" s="18">
        <f t="shared" si="3"/>
        <v>1.3999999999999999E-2</v>
      </c>
    </row>
    <row r="55" spans="1:2">
      <c r="A55" s="24">
        <v>2004</v>
      </c>
      <c r="B55" s="18">
        <f t="shared" si="3"/>
        <v>1.7000000000000001E-2</v>
      </c>
    </row>
    <row r="56" spans="1:2">
      <c r="A56" s="24">
        <v>2005</v>
      </c>
      <c r="B56" s="18">
        <f t="shared" si="3"/>
        <v>1.3999999999999999E-2</v>
      </c>
    </row>
    <row r="57" spans="1:2">
      <c r="A57" s="24">
        <v>2006</v>
      </c>
      <c r="B57" s="18">
        <f t="shared" si="3"/>
        <v>1.3000000000000001E-2</v>
      </c>
    </row>
    <row r="58" spans="1:2">
      <c r="A58" s="24">
        <v>2007</v>
      </c>
      <c r="B58" s="18">
        <f t="shared" si="3"/>
        <v>1.3999999999999999E-2</v>
      </c>
    </row>
    <row r="59" spans="1:2">
      <c r="A59" s="24">
        <v>2008</v>
      </c>
      <c r="B59" s="18">
        <f t="shared" si="3"/>
        <v>1.3999999999999999E-2</v>
      </c>
    </row>
    <row r="60" spans="1:2">
      <c r="A60" s="24">
        <v>2009</v>
      </c>
      <c r="B60" s="81">
        <f t="shared" si="3"/>
        <v>1.4100793019581691E-2</v>
      </c>
    </row>
    <row r="61" spans="1:2">
      <c r="A61" s="24">
        <v>2010</v>
      </c>
      <c r="B61" s="81">
        <f t="shared" si="3"/>
        <v>1.3252379658918068E-2</v>
      </c>
    </row>
    <row r="62" spans="1:2">
      <c r="A62" s="24">
        <v>2011</v>
      </c>
      <c r="B62" s="81">
        <f t="shared" si="3"/>
        <v>1.2710370918919096E-2</v>
      </c>
    </row>
    <row r="63" spans="1:2">
      <c r="A63" s="25">
        <v>2012</v>
      </c>
      <c r="B63" s="82">
        <f>B62+B62-B61</f>
        <v>1.2168362178920124E-2</v>
      </c>
    </row>
  </sheetData>
  <mergeCells count="2">
    <mergeCell ref="D1:E1"/>
    <mergeCell ref="A1:B1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FinalDataCompilation</vt:lpstr>
      <vt:lpstr>60years</vt:lpstr>
      <vt:lpstr>CSY2013</vt:lpstr>
      <vt:lpstr>Merge60_CSY</vt:lpstr>
      <vt:lpstr>ConsNonAg</vt:lpstr>
      <vt:lpstr>Prices</vt:lpstr>
      <vt:lpstr>Capital</vt:lpstr>
      <vt:lpstr>TradeCSY</vt:lpstr>
      <vt:lpstr>Defense</vt:lpstr>
      <vt:lpstr>Wages</vt:lpstr>
      <vt:lpstr>LaborShares</vt:lpstr>
      <vt:lpstr>FarmCapital</vt:lpstr>
      <vt:lpstr>DirectEvidence</vt:lpstr>
      <vt:lpstr>ThirdFront</vt:lpstr>
      <vt:lpstr>Wages!Print_Area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Chertosha</dc:creator>
  <cp:lastModifiedBy>penguin</cp:lastModifiedBy>
  <dcterms:created xsi:type="dcterms:W3CDTF">2014-10-13T22:38:28Z</dcterms:created>
  <dcterms:modified xsi:type="dcterms:W3CDTF">2023-08-01T06:43:18Z</dcterms:modified>
</cp:coreProperties>
</file>